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810" windowWidth="18555" windowHeight="11835"/>
  </bookViews>
  <sheets>
    <sheet name="форма 2п" sheetId="1" r:id="rId1"/>
    <sheet name="Фонд оплаты труда" sheetId="2" r:id="rId2"/>
  </sheets>
  <definedNames>
    <definedName name="_xlnm.Print_Titles" localSheetId="0">'форма 2п'!$11:$13</definedName>
    <definedName name="_xlnm.Print_Area" localSheetId="0">'форма 2п'!$B$2:$Q$228</definedName>
  </definedNames>
  <calcPr calcId="145621"/>
</workbook>
</file>

<file path=xl/calcChain.xml><?xml version="1.0" encoding="utf-8"?>
<calcChain xmlns="http://schemas.openxmlformats.org/spreadsheetml/2006/main">
  <c r="R115" i="1"/>
  <c r="R119"/>
  <c r="R122"/>
  <c r="N113"/>
  <c r="M113"/>
  <c r="L113"/>
  <c r="K113"/>
  <c r="J113"/>
  <c r="I113"/>
  <c r="H113"/>
  <c r="W113"/>
  <c r="R121"/>
  <c r="S114"/>
  <c r="Q114"/>
  <c r="P114"/>
  <c r="O114"/>
  <c r="N114"/>
  <c r="M114"/>
  <c r="K114"/>
  <c r="J114"/>
  <c r="I114"/>
  <c r="H114"/>
  <c r="G118"/>
  <c r="R114"/>
  <c r="S118"/>
  <c r="R118"/>
  <c r="I121"/>
  <c r="H120"/>
  <c r="S121" s="1"/>
  <c r="G172" l="1"/>
  <c r="H166"/>
  <c r="G121"/>
  <c r="H118"/>
  <c r="Q118"/>
  <c r="I118"/>
  <c r="J118"/>
  <c r="K118"/>
  <c r="L118"/>
  <c r="M118"/>
  <c r="N118"/>
  <c r="O118"/>
  <c r="P118"/>
  <c r="N17" i="2"/>
  <c r="M17"/>
  <c r="L17"/>
  <c r="R107" i="1" l="1"/>
  <c r="G125" l="1"/>
  <c r="G124"/>
  <c r="F124"/>
  <c r="H190"/>
  <c r="H35"/>
  <c r="H105"/>
  <c r="H109"/>
  <c r="G228"/>
  <c r="H223"/>
  <c r="G224"/>
  <c r="L6" i="2" l="1"/>
  <c r="J115" i="1" l="1"/>
  <c r="M121"/>
  <c r="N121"/>
  <c r="O121"/>
  <c r="P121"/>
  <c r="Q121"/>
  <c r="L121"/>
  <c r="Q228" l="1"/>
  <c r="O228"/>
  <c r="N228"/>
  <c r="L228"/>
  <c r="K228"/>
  <c r="I228"/>
  <c r="N213" l="1"/>
  <c r="Q213" s="1"/>
  <c r="K213"/>
  <c r="J213"/>
  <c r="M213" s="1"/>
  <c r="P213" s="1"/>
  <c r="I213"/>
  <c r="L213" s="1"/>
  <c r="O213" s="1"/>
  <c r="H212"/>
  <c r="K212" s="1"/>
  <c r="N212" s="1"/>
  <c r="I212" l="1"/>
  <c r="L212" s="1"/>
  <c r="O212" s="1"/>
  <c r="J212"/>
  <c r="M212" s="1"/>
  <c r="H208"/>
  <c r="F205"/>
  <c r="F197"/>
  <c r="H194"/>
  <c r="F111"/>
  <c r="F107"/>
  <c r="F37"/>
  <c r="F34" s="1"/>
  <c r="F33"/>
  <c r="F19"/>
  <c r="F32"/>
  <c r="F16" s="1"/>
  <c r="F113"/>
  <c r="F17" l="1"/>
  <c r="J171"/>
  <c r="J172" s="1"/>
  <c r="K171"/>
  <c r="K172" s="1"/>
  <c r="L171"/>
  <c r="M171"/>
  <c r="N171"/>
  <c r="N172" s="1"/>
  <c r="O171"/>
  <c r="P171"/>
  <c r="Q171"/>
  <c r="I171"/>
  <c r="I172" s="1"/>
  <c r="L172" l="1"/>
  <c r="P172"/>
  <c r="Q172"/>
  <c r="M172"/>
  <c r="O172"/>
  <c r="H172" l="1"/>
  <c r="K185"/>
  <c r="J185"/>
  <c r="F172"/>
  <c r="F185"/>
  <c r="F183"/>
  <c r="F179" s="1"/>
  <c r="O166"/>
  <c r="P166"/>
  <c r="Q166"/>
  <c r="N166"/>
  <c r="M166"/>
  <c r="L166"/>
  <c r="K166"/>
  <c r="J166"/>
  <c r="I166"/>
  <c r="F166"/>
  <c r="I220"/>
  <c r="J220"/>
  <c r="K220"/>
  <c r="L220"/>
  <c r="M220"/>
  <c r="N220"/>
  <c r="O220"/>
  <c r="P220"/>
  <c r="Q220"/>
  <c r="H219"/>
  <c r="H218"/>
  <c r="H220" l="1"/>
  <c r="P228"/>
  <c r="M228"/>
  <c r="J228"/>
  <c r="N6" i="2"/>
  <c r="N8"/>
  <c r="N9" s="1"/>
  <c r="M6"/>
  <c r="K6"/>
  <c r="H228" i="1"/>
  <c r="N7" i="2" l="1"/>
  <c r="I124" i="1"/>
  <c r="J124"/>
  <c r="K124"/>
  <c r="L124"/>
  <c r="M124"/>
  <c r="N124"/>
  <c r="O124"/>
  <c r="P124"/>
  <c r="Q124"/>
  <c r="H124"/>
  <c r="F125"/>
  <c r="E125"/>
  <c r="F228"/>
  <c r="K17" i="2"/>
  <c r="J17"/>
  <c r="M8"/>
  <c r="M9" s="1"/>
  <c r="M7"/>
  <c r="J6"/>
  <c r="J14"/>
  <c r="P126" i="1" l="1"/>
  <c r="P125"/>
  <c r="L126"/>
  <c r="L125"/>
  <c r="O126"/>
  <c r="O125"/>
  <c r="K126"/>
  <c r="K125"/>
  <c r="H126"/>
  <c r="H125"/>
  <c r="N126"/>
  <c r="N125"/>
  <c r="J126"/>
  <c r="J125"/>
  <c r="Q126"/>
  <c r="Q125"/>
  <c r="M126"/>
  <c r="M125"/>
  <c r="I126"/>
  <c r="I125"/>
  <c r="F224"/>
  <c r="F219"/>
  <c r="F218"/>
  <c r="F220" s="1"/>
  <c r="F126" l="1"/>
  <c r="E166"/>
  <c r="D219" l="1"/>
  <c r="D183"/>
  <c r="K193"/>
  <c r="N193" s="1"/>
  <c r="Q193" s="1"/>
  <c r="I193"/>
  <c r="L193" s="1"/>
  <c r="O193" s="1"/>
  <c r="E205"/>
  <c r="E197"/>
  <c r="D197"/>
  <c r="E194"/>
  <c r="H197"/>
  <c r="E191"/>
  <c r="H183"/>
  <c r="H179" s="1"/>
  <c r="H177" s="1"/>
  <c r="D177"/>
  <c r="E172"/>
  <c r="E124"/>
  <c r="E126" s="1"/>
  <c r="E111"/>
  <c r="E107"/>
  <c r="H34"/>
  <c r="I34"/>
  <c r="J34"/>
  <c r="K34"/>
  <c r="L34"/>
  <c r="M34"/>
  <c r="N34"/>
  <c r="O34"/>
  <c r="P34"/>
  <c r="Q34"/>
  <c r="D34"/>
  <c r="H33"/>
  <c r="I33"/>
  <c r="J33"/>
  <c r="K33"/>
  <c r="L33"/>
  <c r="M33"/>
  <c r="N33"/>
  <c r="O33"/>
  <c r="P33"/>
  <c r="Q33"/>
  <c r="E33"/>
  <c r="E34"/>
  <c r="K35"/>
  <c r="J35"/>
  <c r="M35" s="1"/>
  <c r="I115"/>
  <c r="K115"/>
  <c r="L115"/>
  <c r="L114" s="1"/>
  <c r="M115"/>
  <c r="N115"/>
  <c r="O115"/>
  <c r="E115"/>
  <c r="J105"/>
  <c r="M105" s="1"/>
  <c r="P105" s="1"/>
  <c r="I109"/>
  <c r="L109" s="1"/>
  <c r="O109" s="1"/>
  <c r="J109"/>
  <c r="M109" s="1"/>
  <c r="P109" s="1"/>
  <c r="E113"/>
  <c r="E32"/>
  <c r="E16" s="1"/>
  <c r="D32"/>
  <c r="E19"/>
  <c r="H19"/>
  <c r="I19"/>
  <c r="J19"/>
  <c r="K19"/>
  <c r="L19"/>
  <c r="M19"/>
  <c r="N19"/>
  <c r="O19"/>
  <c r="P19"/>
  <c r="Q19"/>
  <c r="D19"/>
  <c r="E183"/>
  <c r="K223"/>
  <c r="N223" s="1"/>
  <c r="Q223" s="1"/>
  <c r="E219"/>
  <c r="E218"/>
  <c r="E224"/>
  <c r="E228"/>
  <c r="F7" i="2"/>
  <c r="K7"/>
  <c r="L7"/>
  <c r="G6"/>
  <c r="G8" s="1"/>
  <c r="G9" s="1"/>
  <c r="G10" s="1"/>
  <c r="I6"/>
  <c r="J7" s="1"/>
  <c r="H6"/>
  <c r="H8" s="1"/>
  <c r="H9" s="1"/>
  <c r="F8"/>
  <c r="G17"/>
  <c r="H17"/>
  <c r="I17"/>
  <c r="F17"/>
  <c r="E17"/>
  <c r="E14"/>
  <c r="D17"/>
  <c r="K13"/>
  <c r="L13" s="1"/>
  <c r="D218" i="1"/>
  <c r="H14" i="2"/>
  <c r="F13"/>
  <c r="G14" s="1"/>
  <c r="K8"/>
  <c r="K9" s="1"/>
  <c r="J8"/>
  <c r="J9" s="1"/>
  <c r="I8"/>
  <c r="I9" s="1"/>
  <c r="A17"/>
  <c r="D14"/>
  <c r="C14"/>
  <c r="B14"/>
  <c r="L8"/>
  <c r="L9" s="1"/>
  <c r="M10" s="1"/>
  <c r="F9"/>
  <c r="E8"/>
  <c r="E9" s="1"/>
  <c r="D8"/>
  <c r="D9" s="1"/>
  <c r="C8"/>
  <c r="C9" s="1"/>
  <c r="B8"/>
  <c r="B9" s="1"/>
  <c r="E7"/>
  <c r="D7"/>
  <c r="C7"/>
  <c r="D113" i="1"/>
  <c r="F14" i="2"/>
  <c r="I14"/>
  <c r="J223" i="1"/>
  <c r="M223" s="1"/>
  <c r="P223" s="1"/>
  <c r="D16"/>
  <c r="I223"/>
  <c r="L223" s="1"/>
  <c r="O223" s="1"/>
  <c r="L183"/>
  <c r="L179" s="1"/>
  <c r="N183"/>
  <c r="N179" s="1"/>
  <c r="N178" s="1"/>
  <c r="M183"/>
  <c r="M179" s="1"/>
  <c r="M178" s="1"/>
  <c r="K109"/>
  <c r="N109" s="1"/>
  <c r="Q109" s="1"/>
  <c r="E188"/>
  <c r="Q183"/>
  <c r="Q179" s="1"/>
  <c r="Q178" s="1"/>
  <c r="O183"/>
  <c r="O179" s="1"/>
  <c r="O178" s="1"/>
  <c r="P183"/>
  <c r="P179" s="1"/>
  <c r="P178" s="1"/>
  <c r="J183"/>
  <c r="J179" s="1"/>
  <c r="J178" s="1"/>
  <c r="D188"/>
  <c r="H32"/>
  <c r="I35"/>
  <c r="L35" s="1"/>
  <c r="L32" s="1"/>
  <c r="H10" i="2" l="1"/>
  <c r="J190" i="1"/>
  <c r="J197" s="1"/>
  <c r="I32"/>
  <c r="E17"/>
  <c r="H16"/>
  <c r="H17" s="1"/>
  <c r="K105"/>
  <c r="N105" s="1"/>
  <c r="Q105" s="1"/>
  <c r="I105"/>
  <c r="L105" s="1"/>
  <c r="O105" s="1"/>
  <c r="M32"/>
  <c r="M16" s="1"/>
  <c r="M17" s="1"/>
  <c r="P35"/>
  <c r="P32" s="1"/>
  <c r="P16" s="1"/>
  <c r="P17" s="1"/>
  <c r="J32"/>
  <c r="J16" s="1"/>
  <c r="O35"/>
  <c r="O32" s="1"/>
  <c r="K183"/>
  <c r="K179" s="1"/>
  <c r="K178" s="1"/>
  <c r="I183"/>
  <c r="I179" s="1"/>
  <c r="I178" s="1"/>
  <c r="K190"/>
  <c r="I190"/>
  <c r="M13" i="2"/>
  <c r="L14"/>
  <c r="K14"/>
  <c r="K10"/>
  <c r="E10"/>
  <c r="F10"/>
  <c r="I10"/>
  <c r="J10"/>
  <c r="C10"/>
  <c r="N35" i="1"/>
  <c r="K32"/>
  <c r="I7" i="2"/>
  <c r="G7"/>
  <c r="H7"/>
  <c r="J193" i="1"/>
  <c r="M193" s="1"/>
  <c r="P193" s="1"/>
  <c r="M14" i="2" l="1"/>
  <c r="N13"/>
  <c r="N14" s="1"/>
  <c r="M190" i="1"/>
  <c r="P190" s="1"/>
  <c r="P197" s="1"/>
  <c r="J17"/>
  <c r="O16"/>
  <c r="O17" s="1"/>
  <c r="L16"/>
  <c r="L17" s="1"/>
  <c r="I16"/>
  <c r="I17" s="1"/>
  <c r="I197"/>
  <c r="L190"/>
  <c r="K197"/>
  <c r="N190"/>
  <c r="K16"/>
  <c r="K17" s="1"/>
  <c r="Q113"/>
  <c r="Q35"/>
  <c r="Q32" s="1"/>
  <c r="N32"/>
  <c r="M197" l="1"/>
  <c r="N197"/>
  <c r="Q190"/>
  <c r="Q197" s="1"/>
  <c r="O190"/>
  <c r="O197" s="1"/>
  <c r="L197"/>
  <c r="N16"/>
  <c r="N17" s="1"/>
  <c r="Q16"/>
  <c r="Q17" s="1"/>
  <c r="O113"/>
  <c r="P113"/>
  <c r="L10" i="2" l="1"/>
  <c r="I204" i="1"/>
  <c r="L204" s="1"/>
  <c r="O204" s="1"/>
  <c r="K204"/>
  <c r="N204" s="1"/>
  <c r="Q204" s="1"/>
  <c r="H205"/>
  <c r="J204"/>
  <c r="M204" s="1"/>
  <c r="P204" s="1"/>
  <c r="J121"/>
  <c r="K121" l="1"/>
</calcChain>
</file>

<file path=xl/sharedStrings.xml><?xml version="1.0" encoding="utf-8"?>
<sst xmlns="http://schemas.openxmlformats.org/spreadsheetml/2006/main" count="452" uniqueCount="274">
  <si>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</si>
  <si>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</si>
  <si>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</si>
  <si>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</si>
  <si>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</si>
  <si>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</si>
  <si>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</si>
  <si>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</si>
  <si>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</si>
  <si>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</si>
  <si>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</si>
  <si>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</si>
  <si>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</si>
  <si>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</si>
  <si>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</si>
  <si>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</si>
  <si>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</si>
  <si>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</si>
  <si>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в том числе:</t>
  </si>
  <si>
    <t>Валовой сбор зерна (в весе после доработки)</t>
  </si>
  <si>
    <t>тыс. тонн</t>
  </si>
  <si>
    <t>Валовой сбор семян масличных культур – всего</t>
  </si>
  <si>
    <t>Валовой сбор картофеля</t>
  </si>
  <si>
    <t>Валовой сбор овощей</t>
  </si>
  <si>
    <t>Молоко</t>
  </si>
  <si>
    <t>Яйца</t>
  </si>
  <si>
    <t>млн.шт.</t>
  </si>
  <si>
    <t>Древесина необработанная</t>
  </si>
  <si>
    <t>млн. куб. м</t>
  </si>
  <si>
    <t>млн.тонн</t>
  </si>
  <si>
    <t>Нефть добытая, включая газовый конденсат</t>
  </si>
  <si>
    <t>Газ природный и попутный</t>
  </si>
  <si>
    <t>млрд.куб.м.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</si>
  <si>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</si>
  <si>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</si>
  <si>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</si>
  <si>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</si>
  <si>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</si>
  <si>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тыс. дкл</t>
  </si>
  <si>
    <t>Водка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</si>
  <si>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</si>
  <si>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</si>
  <si>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</si>
  <si>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</si>
  <si>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</si>
  <si>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</si>
  <si>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</si>
  <si>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</si>
  <si>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</si>
  <si>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</si>
  <si>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</si>
  <si>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</si>
  <si>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</si>
  <si>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</si>
  <si>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</si>
  <si>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</si>
  <si>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</si>
  <si>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Электроэнергия</t>
  </si>
  <si>
    <t>млрд. кВт. ч.</t>
  </si>
  <si>
    <t>в том числе произведенная</t>
  </si>
  <si>
    <t>атомными электростанциями</t>
  </si>
  <si>
    <t>тепловыми электростанциями</t>
  </si>
  <si>
    <t>гидроэлектростанциями</t>
  </si>
  <si>
    <t>Объем работ, выполненных по виду экономической деятельности "Строительство" (Раздел F)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</si>
  <si>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</si>
  <si>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</si>
  <si>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</si>
  <si>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</si>
  <si>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</si>
  <si>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</si>
  <si>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</si>
  <si>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</si>
  <si>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</si>
  <si>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</si>
  <si>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</si>
  <si>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Распределение оборота розничной торговли по формам торговли</t>
  </si>
  <si>
    <t>Оборот розничной торговли торгующих организаций и индивидуальных предпринимателей, осуществляющих деятельность вне рынка</t>
  </si>
  <si>
    <t>Продажа на розничных рынках и ярмарках</t>
  </si>
  <si>
    <t xml:space="preserve">Оборот розничной торговли по торговым сетям </t>
  </si>
  <si>
    <t>% от оборота розничной торговли</t>
  </si>
  <si>
    <t>Структура оборота розничной торговли</t>
  </si>
  <si>
    <t>Пищевые продукты, включая напитки, и табачные изделия</t>
  </si>
  <si>
    <t>в ценах соответствующих лет; % от оборота розничной торговли субъекта Российской Федерации</t>
  </si>
  <si>
    <t>Непродовольственные товары</t>
  </si>
  <si>
    <t>Объем платных услуг населению</t>
  </si>
  <si>
    <t>Индекс-дефлятор объема платных услуг</t>
  </si>
  <si>
    <t>единиц</t>
  </si>
  <si>
    <t>тыс. чел.</t>
  </si>
  <si>
    <t xml:space="preserve">млрд. руб. 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</si>
  <si>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</si>
  <si>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</si>
  <si>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</si>
  <si>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</si>
  <si>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</si>
  <si>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</si>
  <si>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</si>
  <si>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</si>
  <si>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</si>
  <si>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</si>
  <si>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</si>
  <si>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</si>
  <si>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</si>
  <si>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</si>
  <si>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</si>
  <si>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</si>
  <si>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</si>
  <si>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 xml:space="preserve"> 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</si>
  <si>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</si>
  <si>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</si>
  <si>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r>
      <t>Топливо печное бытовое</t>
    </r>
    <r>
      <rPr>
        <b/>
        <sz val="14"/>
        <color indexed="8"/>
        <rFont val="Times New Roman"/>
        <family val="1"/>
        <charset val="204"/>
      </rPr>
      <t xml:space="preserve">, </t>
    </r>
    <r>
      <rPr>
        <sz val="14"/>
        <color indexed="8"/>
        <rFont val="Times New Roman"/>
        <family val="1"/>
        <charset val="204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</si>
  <si>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Показатели</t>
  </si>
  <si>
    <t>Единица измерения</t>
  </si>
  <si>
    <t>отчет</t>
  </si>
  <si>
    <t>оценка</t>
  </si>
  <si>
    <t>прогноз</t>
  </si>
  <si>
    <t>% к предыдущему году</t>
  </si>
  <si>
    <t xml:space="preserve">млн. руб. </t>
  </si>
  <si>
    <t xml:space="preserve">Индекс промышленного производства </t>
  </si>
  <si>
    <t>Добыча полезных ископаемых</t>
  </si>
  <si>
    <t>Обрабатывающие производства</t>
  </si>
  <si>
    <t>Индекс потребительских цен на продукцию общественного питания за период с начала года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</si>
  <si>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</si>
  <si>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</si>
  <si>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</si>
  <si>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</si>
  <si>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Индекс-дефлятор отрузки - РАЗДЕЛ B: Добыча полезных ископаемых</t>
  </si>
  <si>
    <t>Индекс производства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</si>
  <si>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- 08 Добыча прочих полезных ископаемых</t>
  </si>
  <si>
    <t>Индекс-дефлятор отрузки - 08 Добыча прочих полезных ископаемых</t>
  </si>
  <si>
    <t>Индекс производства - 08 Добыча прочих полезных ископаемых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</si>
  <si>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</si>
  <si>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Индекс-дефлятор отрузки - РАЗДЕЛ C: Обрабатывающие производства</t>
  </si>
  <si>
    <t>Индекс производства - РАЗДЕЛ C: Обрабатывающие производства</t>
  </si>
  <si>
    <t>Объем отгруженных товаров собственного производства, выполненных работ и услуг собственными силами - 10 Производство пищевых продуктов</t>
  </si>
  <si>
    <t>Индекс-дефлятор отрузки - 10 Производство пищевых продуктов</t>
  </si>
  <si>
    <t>Индекс производства - 10 Производство пищевых продуктов</t>
  </si>
  <si>
    <t>Объем отгруженных товаров собственного производства, выполненных работ и услуг собственными силами - 11 Производство напитков</t>
  </si>
  <si>
    <t>Индекс-дефлятор отрузки - 11 Производство напитков</t>
  </si>
  <si>
    <t>Индекс производства - 11 Производство напитков</t>
  </si>
  <si>
    <t>Объем отгруженных товаров собственного производства, выполненных работ и услуг собственными силами - 13 Производство текстильных изделий</t>
  </si>
  <si>
    <t>Индекс-дефлятор отрузки - 13 Производство текстильных изделий</t>
  </si>
  <si>
    <t>Индекс производства - 13 Производство текстильных изделий</t>
  </si>
  <si>
    <t>Объем отгруженных товаров собственного производства, выполненных работ и услуг собственными силами - 14 Производство одежды</t>
  </si>
  <si>
    <t>Индекс-дефлятор отрузки - 14 Производство одежды</t>
  </si>
  <si>
    <t>Индекс производства - 14 Производство одежды</t>
  </si>
  <si>
    <t>Объем отгруженных товаров собственного производства, выполненных работ и услуг собственными силами - 15 Производство кожи и изделий из кожи</t>
  </si>
  <si>
    <t>Индекс-дефлятор отрузки - 15 Производство кожи и изделий из кожи</t>
  </si>
  <si>
    <t>Индекс производства - 15 Производство кожи и изделий из кожи</t>
  </si>
  <si>
    <t>Объем отгруженных товаров собственного производства, выполненных работ и услуг собственными силами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</si>
  <si>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>Индекс-дефлятор отрузки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</si>
  <si>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>Индекс производства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</si>
  <si>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Объем отгруженных товаров собственного производства, выполненных работ и услуг собственными силами - 17 Производство бумаги и бумажных изделий </t>
  </si>
  <si>
    <t xml:space="preserve">Индекс-дефлятор отрузки - 17 Производство бумаги и бумажных изделий </t>
  </si>
  <si>
    <t xml:space="preserve">Индекс производства - 17 Производство бумаги и бумажных изделий </t>
  </si>
  <si>
    <t>Объем отгруженных товаров собственного производства, выполненных работ и услуг собственными силами - 18 Деятельность полиграфическая и копирование носителей информации</t>
  </si>
  <si>
    <t>Индекс-дефлятор отрузки - 18 Деятельность полиграфическая и копирование носителей информации</t>
  </si>
  <si>
    <t>Индекс производства - 18 Деятельность полиграфическая и копирование носителей информации</t>
  </si>
  <si>
    <t>Объем отгруженных товаров собственного производства, выполненных работ и услуг собственными силами - 19 Производство кокса и нефтепродуктов</t>
  </si>
  <si>
    <t>Индекс-дефлятор отрузки - 19 Производство кокса и нефтепродуктов</t>
  </si>
  <si>
    <t>Индекс производства - 19 Производство кокса и нефтепродуктов</t>
  </si>
  <si>
    <t>Объем отгруженных товаров собственного производства, выполненных работ и услуг собственными силами - 20 Производство химических веществ и химических продуктов</t>
  </si>
  <si>
    <t>Индекс-дефлятор отрузки - 20 Производство химических веществ и химических продуктов</t>
  </si>
  <si>
    <t>Индекс производства - 20 Производство химических веществ и химических продуктов</t>
  </si>
  <si>
    <t>Объем отгруженных товаров собственного производства, выполненных работ и услуг собственными силами - 21 Производство лекарственных средств и материалов, применяемых в медицинских целях</t>
  </si>
  <si>
    <t>Индекс-дефлятор отрузки - 21 Производство лекарственных средств и материалов, применяемых в медицинских целях</t>
  </si>
  <si>
    <t>Индекс производства - 21 Производство лекарственных средств и материалов, применяемых в медицинских целях</t>
  </si>
  <si>
    <t>Объем отгруженных товаров собственного производства, выполненных работ и услуг собственными силами - 22 Производство резиновых и пластмассовых изделий</t>
  </si>
  <si>
    <t>Индекс-дефлятор отрузки - 22 Производство резиновых и пластмассовых изделий</t>
  </si>
  <si>
    <t>Индекс производства - 22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</si>
  <si>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- 23 Производство прочей неметаллической минеральной продукции</t>
  </si>
  <si>
    <t>Индекс-дефлятор отрузки - 23 Производство прочей неметаллической минеральной продукции</t>
  </si>
  <si>
    <t>Индекс производства - 23 Производство прочей неметаллической минеральной продукции</t>
  </si>
  <si>
    <t xml:space="preserve">Объем отгруженных товаров собственного производства, выполненных работ и услуг собственными силами - 24 Производство металлургическое </t>
  </si>
  <si>
    <t xml:space="preserve">Индекс-дефлятор отрузки - 24 Производство металлургическое </t>
  </si>
  <si>
    <t xml:space="preserve">Индекс производства - 24 Производство металлургическое </t>
  </si>
  <si>
    <t>Объем отгруженных товаров собственного производства, выполненных работ и услуг собственными силами - 25 Производство готовых металлических изделий, кроме машин и оборудования</t>
  </si>
  <si>
    <t>Индекс-дефлятор отрузки - 25 Производство готовых металлических изделий, кроме машин и оборудования</t>
  </si>
  <si>
    <t>Индекс производства - 25 Производство готовых металлических изделий, кроме машин и оборудования</t>
  </si>
  <si>
    <t>Объем отгруженных товаров собственного производства, выполненных работ и услуг собственными силами - 26 Производство компьютеров, электронных и  оптических изделий</t>
  </si>
  <si>
    <t>Индекс-дефлятор отрузки - 26 Производство компьютеров, электронных и  оптических изделий</t>
  </si>
  <si>
    <t>Индекс производства - 26 Производство компьютеров, электронных и  оптических изделий</t>
  </si>
  <si>
    <t>Объем отгруженных товаров собственного производства, выполненных работ и услуг собственными силами - 27 Производство электрического оборудования</t>
  </si>
  <si>
    <t>Индекс-дефлятор отрузки - 27 Производство электрического оборудования</t>
  </si>
  <si>
    <t>Индекс производства - 27 Производство электрического оборудования</t>
  </si>
  <si>
    <t>Объем отгруженных товаров собственного производства, выполненных работ и услуг собственными силами - 28 Производство машин и оборудования, не включенных в другие группировки</t>
  </si>
  <si>
    <t>Индекс-дефлятор отрузки - 28 Производство машин и оборудования, не включенных в другие группировки</t>
  </si>
  <si>
    <t>Индекс производства - 28 Производство машин и оборудования, не включенных в другие группировки</t>
  </si>
  <si>
    <t>Объем отгруженных товаров собственного производства, выполненных работ и услуг собственными силами - 29 Производство автотранспортных средств, прицепов и полуприцепов</t>
  </si>
  <si>
    <t>Индекс-дефлятор отрузки - 29 Производство автотранспортных средств, прицепов и полуприцепов</t>
  </si>
  <si>
    <t>Индекс производства - 29 Производство автотранспортных средств, прицепов и полуприцепов</t>
  </si>
  <si>
    <t>Объем отгруженных товаров собственного производства, выполненных работ и услуг собственными силами - 30 Производство прочих транспортных средств и оборудования</t>
  </si>
  <si>
    <t>Индекс-дефлятор отрузки - 30 Производство прочих транспортных средств и оборудования</t>
  </si>
  <si>
    <t>Индекс производства - 30 Производство прочих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</si>
  <si>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- 31 Производство мебели</t>
  </si>
  <si>
    <t>Индекс-дефлятор отрузки - 31 Производство мебели</t>
  </si>
  <si>
    <t>Индекс производства - 31 Производство мебели</t>
  </si>
  <si>
    <t>Объем отгруженных товаров собственного производства, выполненных работ и услуг собственными силами - 32 Производство прочих готовых изделий</t>
  </si>
  <si>
    <t>Индекс-дефлятор отрузки - 32 Производство прочих готовых изделий</t>
  </si>
  <si>
    <t>Индекс производства - 32 Производство прочих готовых изделий</t>
  </si>
  <si>
    <t>Объем отгруженных товаров собственного производства, выполненных работ и услуг собственными силами - 33 Ремонт и монтаж машин и оборудования</t>
  </si>
  <si>
    <t>Индекс-дефлятор отрузки - 33 Ремонт и монтаж машин и оборудования</t>
  </si>
  <si>
    <t>Индекс производства - 33 Ремонт и монтаж машин и оборудования</t>
  </si>
  <si>
    <t>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</si>
  <si>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</si>
  <si>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Индекс-дефлятор отгрузки - РАЗДЕЛ E: Водоснабжение; водоотведение, организация сбора и утилизации отходов, деятельность по ликвидации загрязнений</t>
  </si>
  <si>
    <t>Индекс производства - РАЗДЕЛ E: Водоснабжение; водоотведение, организация сбора и утилизации отходов, деятельность по ликвидации загрязнений</t>
  </si>
  <si>
    <t>Водоснабжение; водоотведение, организация сбора и утилизации отходов, деятельность по ликвидации загрязнений</t>
  </si>
  <si>
    <t>базовый</t>
  </si>
  <si>
    <t>консервативный</t>
  </si>
  <si>
    <t>1 вариант</t>
  </si>
  <si>
    <t>2 вариант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</si>
  <si>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</t>
  </si>
  <si>
    <t>Индекс-дефлятор отгрузки - РАЗДЕЛ D: Обеспечение электрической энергией, газом и паром; кондиционирование воздуха</t>
  </si>
  <si>
    <t>Индекс производства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</si>
  <si>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- 06 Добыча сырой нефти и природного газа</t>
  </si>
  <si>
    <t>Индекс-дефлятор отрузки - 06 Добыча сырой нефти и природного газа</t>
  </si>
  <si>
    <t>Индекс производства - 06 Добыча сырой нефти и природного газа</t>
  </si>
  <si>
    <t>Объем отгруженных товаров собственного производства, выполненных работ и услуг собственными силами - 09 Предоставление услуг в области добычи полезных ископаемых</t>
  </si>
  <si>
    <t>Индекс-дефлятор отрузки - 09 Предоставление услуг в области добычи полезных ископаемых</t>
  </si>
  <si>
    <t>Индекс производства - 09 Предоставление услуг в области добычи полезных ископаемых</t>
  </si>
  <si>
    <t>Индекс-дефлятор по объему работ, выполненных по виду деятельности "Строительство" (Раздел F)</t>
  </si>
  <si>
    <t>Объем отгруженных товаров собственного производства, выполненных работ и услуг собственными силами</t>
  </si>
  <si>
    <t>Прибыль прибыльных организаций</t>
  </si>
  <si>
    <t>Сальдированный финансовый результат (прибыль минус убыток)</t>
  </si>
  <si>
    <t>1. Промышленное производство (BCDE)</t>
  </si>
  <si>
    <t>2. Сельское хозяйство</t>
  </si>
  <si>
    <t>3. Транспорт</t>
  </si>
  <si>
    <t xml:space="preserve">Производство важнейших видов продукции в натуральном выражении </t>
  </si>
  <si>
    <t>4. Строительство</t>
  </si>
  <si>
    <t>5. Инвестиции</t>
  </si>
  <si>
    <t>6. Торговля и услуги населению</t>
  </si>
  <si>
    <t>7. Малое и среднее предпринимательство, включая микропредприятия</t>
  </si>
  <si>
    <t>8. Финансы</t>
  </si>
  <si>
    <t>руб/мес</t>
  </si>
  <si>
    <t>Темп номинальной начисленной среднемесячной заработной платы работников организаций</t>
  </si>
  <si>
    <t>% г/г</t>
  </si>
  <si>
    <t>Темп роста фонда заработной платы работников организаций</t>
  </si>
  <si>
    <t>10. Труд и занятость</t>
  </si>
  <si>
    <t>Численность населения (в среднегодовом исчислении)</t>
  </si>
  <si>
    <t>тыс.чел.</t>
  </si>
  <si>
    <t>Численность населения трудоспособного возраста</t>
  </si>
  <si>
    <t>Численность населения старше трудоспособного возраста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</si>
  <si>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</si>
  <si>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</si>
  <si>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</si>
  <si>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</si>
  <si>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</si>
  <si>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</si>
  <si>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Миграционный прирост (убыль)</t>
  </si>
  <si>
    <t>тыс. чел</t>
  </si>
  <si>
    <t>9. Население</t>
  </si>
  <si>
    <t>тыс руб.</t>
  </si>
  <si>
    <t>НДФЛ</t>
  </si>
  <si>
    <t>Поступление НДФЛ консолидированный бюджет 25%</t>
  </si>
  <si>
    <t>Поступление НДФЛ 100 %*</t>
  </si>
  <si>
    <t>ФОТ прогнозный по поступлению НДФЛ</t>
  </si>
  <si>
    <t>Троста, %</t>
  </si>
  <si>
    <t>ФОТ по статистике год</t>
  </si>
  <si>
    <t>ФОТ по статистике 1 квартал</t>
  </si>
  <si>
    <t>целевой</t>
  </si>
  <si>
    <t>3 вариант</t>
  </si>
  <si>
    <t>Номинальная начисленная среднемесячная заработная плата работников организаций</t>
  </si>
  <si>
    <t>Фонд заработной платы работников организаций</t>
  </si>
  <si>
    <t>Приложение № 1</t>
  </si>
  <si>
    <t xml:space="preserve">УТВЕРЖДЕНЫ </t>
  </si>
  <si>
    <t>Постановлением Администрации</t>
  </si>
  <si>
    <t>Кривошеинского района</t>
  </si>
  <si>
    <t>Стратегия</t>
  </si>
  <si>
    <t xml:space="preserve">на 2023-2025 годы </t>
  </si>
  <si>
    <t>Показатели прогноза социально-экономического развития муниципального образования Кривошеинский район Томской области</t>
  </si>
  <si>
    <t>от 03.11.2022 №762</t>
  </si>
  <si>
    <t>Анализ Фонда оплаты труда на 2022 год и плановый период до 2025 года</t>
  </si>
  <si>
    <t>Скот и птица на убой ( в живом весе)</t>
  </si>
  <si>
    <t>Проверка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</si>
</sst>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0.0"/>
    <numFmt numFmtId="165" formatCode="#,##0.0"/>
    <numFmt numFmtId="166" formatCode="0_)"/>
    <numFmt numFmtId="167" formatCode="#,##0.000"/>
  </numFmts>
  <fonts count="16">
    <font>
      <sz val="10"/>
      <name val="Arial Cyr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Courier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BFF9B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3" fillId="0" borderId="0"/>
    <xf numFmtId="166" fontId="8" fillId="0" borderId="0"/>
    <xf numFmtId="0" fontId="1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0" fillId="2" borderId="0" xfId="0" applyFill="1"/>
    <xf numFmtId="0" fontId="0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Continuous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0" fillId="2" borderId="0" xfId="0" applyFont="1" applyFill="1" applyAlignment="1" applyProtection="1">
      <alignment horizontal="left" vertical="center"/>
      <protection locked="0"/>
    </xf>
    <xf numFmtId="164" fontId="7" fillId="2" borderId="0" xfId="0" applyNumberFormat="1" applyFont="1" applyFill="1" applyBorder="1" applyAlignment="1" applyProtection="1">
      <alignment horizontal="left" vertical="center" wrapText="1"/>
      <protection locked="0"/>
    </xf>
    <xf numFmtId="165" fontId="0" fillId="2" borderId="0" xfId="0" applyNumberFormat="1" applyFill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 shrinkToFit="1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shrinkToFit="1"/>
    </xf>
    <xf numFmtId="0" fontId="6" fillId="0" borderId="1" xfId="0" applyFont="1" applyFill="1" applyBorder="1" applyAlignment="1" applyProtection="1">
      <alignment horizontal="left" vertical="center" wrapText="1" shrinkToFit="1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 shrinkToFit="1"/>
    </xf>
    <xf numFmtId="0" fontId="3" fillId="0" borderId="1" xfId="0" applyFont="1" applyFill="1" applyBorder="1" applyAlignment="1" applyProtection="1">
      <alignment horizontal="center" vertical="center" wrapText="1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 applyProtection="1">
      <alignment vertical="center" wrapText="1" shrinkToFit="1"/>
    </xf>
    <xf numFmtId="0" fontId="2" fillId="0" borderId="1" xfId="0" applyFont="1" applyFill="1" applyBorder="1" applyAlignment="1" applyProtection="1">
      <alignment horizontal="center" vertical="center" wrapText="1" shrinkToFit="1"/>
    </xf>
    <xf numFmtId="0" fontId="2" fillId="0" borderId="1" xfId="0" applyFont="1" applyFill="1" applyBorder="1" applyAlignment="1">
      <alignment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shrinkToFit="1"/>
    </xf>
    <xf numFmtId="165" fontId="3" fillId="0" borderId="1" xfId="0" applyNumberFormat="1" applyFont="1" applyFill="1" applyBorder="1" applyAlignment="1">
      <alignment horizontal="center" vertical="center" wrapText="1" shrinkToFit="1"/>
    </xf>
    <xf numFmtId="165" fontId="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vertical="center" wrapText="1" shrinkToFi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165" fontId="7" fillId="0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165" fontId="3" fillId="5" borderId="1" xfId="0" applyNumberFormat="1" applyFont="1" applyFill="1" applyBorder="1" applyAlignment="1" applyProtection="1">
      <alignment horizontal="center" vertical="center" wrapText="1"/>
    </xf>
    <xf numFmtId="165" fontId="3" fillId="5" borderId="1" xfId="0" applyNumberFormat="1" applyFont="1" applyFill="1" applyBorder="1" applyAlignment="1" applyProtection="1">
      <alignment horizontal="center" vertical="center" wrapText="1" shrinkToFit="1"/>
    </xf>
    <xf numFmtId="164" fontId="3" fillId="5" borderId="1" xfId="4" applyNumberFormat="1" applyFont="1" applyFill="1" applyBorder="1" applyAlignment="1" applyProtection="1">
      <alignment horizontal="center" vertical="center" wrapText="1"/>
    </xf>
    <xf numFmtId="165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5" borderId="1" xfId="4" applyNumberFormat="1" applyFont="1" applyFill="1" applyBorder="1" applyAlignment="1" applyProtection="1">
      <alignment horizontal="center" vertical="center" wrapText="1"/>
      <protection locked="0"/>
    </xf>
    <xf numFmtId="165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6" borderId="1" xfId="0" applyNumberFormat="1" applyFont="1" applyFill="1" applyBorder="1" applyAlignment="1">
      <alignment horizontal="center" vertical="center" wrapText="1" shrinkToFit="1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" xfId="0" applyFont="1" applyFill="1" applyBorder="1" applyAlignment="1">
      <alignment horizontal="center" vertical="center"/>
    </xf>
    <xf numFmtId="3" fontId="11" fillId="7" borderId="1" xfId="0" applyNumberFormat="1" applyFont="1" applyFill="1" applyBorder="1" applyAlignment="1">
      <alignment horizontal="center" vertical="center" wrapText="1"/>
    </xf>
    <xf numFmtId="2" fontId="11" fillId="7" borderId="1" xfId="0" applyNumberFormat="1" applyFont="1" applyFill="1" applyBorder="1" applyAlignment="1">
      <alignment horizontal="center" vertical="center" wrapText="1"/>
    </xf>
    <xf numFmtId="1" fontId="11" fillId="7" borderId="1" xfId="0" applyNumberFormat="1" applyFont="1" applyFill="1" applyBorder="1" applyAlignment="1">
      <alignment horizontal="center" vertical="center" wrapText="1"/>
    </xf>
    <xf numFmtId="164" fontId="11" fillId="7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6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5" borderId="1" xfId="0" applyNumberFormat="1" applyFont="1" applyFill="1" applyBorder="1" applyAlignment="1">
      <alignment horizontal="center" vertical="center" wrapText="1" shrinkToFit="1"/>
    </xf>
    <xf numFmtId="165" fontId="14" fillId="9" borderId="1" xfId="5" applyNumberFormat="1" applyFont="1" applyFill="1" applyBorder="1" applyAlignment="1">
      <alignment horizontal="center" vertical="center"/>
    </xf>
    <xf numFmtId="165" fontId="14" fillId="6" borderId="1" xfId="5" applyNumberFormat="1" applyFont="1" applyFill="1" applyBorder="1" applyAlignment="1">
      <alignment horizontal="center" vertical="center"/>
    </xf>
    <xf numFmtId="165" fontId="3" fillId="1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10" borderId="1" xfId="4" applyNumberFormat="1" applyFont="1" applyFill="1" applyBorder="1" applyAlignment="1" applyProtection="1">
      <alignment horizontal="center" vertical="center" wrapText="1"/>
      <protection locked="0"/>
    </xf>
    <xf numFmtId="164" fontId="7" fillId="10" borderId="1" xfId="0" applyNumberFormat="1" applyFont="1" applyFill="1" applyBorder="1" applyAlignment="1" applyProtection="1">
      <alignment horizontal="center" vertical="center"/>
      <protection locked="0"/>
    </xf>
    <xf numFmtId="165" fontId="3" fillId="10" borderId="1" xfId="0" applyNumberFormat="1" applyFont="1" applyFill="1" applyBorder="1" applyAlignment="1" applyProtection="1">
      <alignment horizontal="center" vertical="center" wrapText="1"/>
    </xf>
    <xf numFmtId="4" fontId="3" fillId="8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8" borderId="1" xfId="0" applyNumberFormat="1" applyFont="1" applyFill="1" applyBorder="1" applyAlignment="1" applyProtection="1">
      <alignment horizontal="center" vertical="center" wrapText="1"/>
    </xf>
    <xf numFmtId="165" fontId="3" fillId="8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8" borderId="1" xfId="0" applyNumberFormat="1" applyFont="1" applyFill="1" applyBorder="1" applyAlignment="1" applyProtection="1">
      <alignment horizontal="center" vertical="center" wrapText="1"/>
    </xf>
    <xf numFmtId="165" fontId="7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1" xfId="0" applyFont="1" applyFill="1" applyBorder="1" applyAlignment="1" applyProtection="1">
      <alignment horizontal="center" vertical="center" wrapText="1"/>
    </xf>
    <xf numFmtId="165" fontId="3" fillId="8" borderId="1" xfId="0" applyNumberFormat="1" applyFont="1" applyFill="1" applyBorder="1" applyAlignment="1" applyProtection="1">
      <alignment horizontal="center" vertical="center" wrapText="1" shrinkToFit="1"/>
    </xf>
    <xf numFmtId="0" fontId="2" fillId="8" borderId="1" xfId="0" applyFont="1" applyFill="1" applyBorder="1" applyAlignment="1" applyProtection="1">
      <alignment horizontal="center" vertical="center" wrapText="1" shrinkToFit="1"/>
    </xf>
    <xf numFmtId="165" fontId="2" fillId="8" borderId="1" xfId="0" applyNumberFormat="1" applyFont="1" applyFill="1" applyBorder="1" applyAlignment="1">
      <alignment horizontal="center" vertical="center" wrapText="1" shrinkToFit="1"/>
    </xf>
    <xf numFmtId="165" fontId="3" fillId="8" borderId="1" xfId="0" applyNumberFormat="1" applyFont="1" applyFill="1" applyBorder="1" applyAlignment="1">
      <alignment horizontal="center" vertical="center" wrapText="1" shrinkToFit="1"/>
    </xf>
    <xf numFmtId="165" fontId="3" fillId="8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8" borderId="1" xfId="0" applyFont="1" applyFill="1" applyBorder="1" applyAlignment="1" applyProtection="1">
      <alignment horizontal="center" vertical="center" wrapText="1"/>
      <protection locked="0"/>
    </xf>
    <xf numFmtId="3" fontId="3" fillId="8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8" borderId="1" xfId="0" applyNumberFormat="1" applyFont="1" applyFill="1" applyBorder="1" applyAlignment="1" applyProtection="1">
      <alignment horizontal="center" vertical="center"/>
      <protection locked="0"/>
    </xf>
    <xf numFmtId="0" fontId="7" fillId="8" borderId="1" xfId="0" applyFont="1" applyFill="1" applyBorder="1" applyAlignment="1" applyProtection="1">
      <alignment horizontal="center" vertical="center" wrapText="1"/>
    </xf>
    <xf numFmtId="165" fontId="7" fillId="8" borderId="1" xfId="0" applyNumberFormat="1" applyFont="1" applyFill="1" applyBorder="1" applyAlignment="1" applyProtection="1">
      <alignment horizontal="center" vertical="center"/>
      <protection locked="0"/>
    </xf>
    <xf numFmtId="165" fontId="3" fillId="11" borderId="1" xfId="0" applyNumberFormat="1" applyFont="1" applyFill="1" applyBorder="1" applyAlignment="1" applyProtection="1">
      <alignment horizontal="center" vertical="center" wrapText="1"/>
    </xf>
    <xf numFmtId="165" fontId="7" fillId="11" borderId="1" xfId="0" applyNumberFormat="1" applyFont="1" applyFill="1" applyBorder="1" applyAlignment="1" applyProtection="1">
      <alignment horizontal="center" vertical="center" wrapText="1"/>
    </xf>
    <xf numFmtId="164" fontId="7" fillId="12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12" borderId="1" xfId="0" applyNumberFormat="1" applyFont="1" applyFill="1" applyBorder="1" applyAlignment="1" applyProtection="1">
      <alignment horizontal="center" vertical="center"/>
      <protection locked="0"/>
    </xf>
    <xf numFmtId="164" fontId="3" fillId="12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12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11" borderId="1" xfId="0" applyNumberFormat="1" applyFont="1" applyFill="1" applyBorder="1" applyAlignment="1" applyProtection="1">
      <alignment horizontal="center" vertical="center" wrapText="1" shrinkToFit="1"/>
    </xf>
    <xf numFmtId="165" fontId="3" fillId="11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11" borderId="1" xfId="0" applyNumberFormat="1" applyFont="1" applyFill="1" applyBorder="1" applyAlignment="1">
      <alignment horizontal="center" vertical="center" wrapText="1" shrinkToFit="1"/>
    </xf>
    <xf numFmtId="165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2" fillId="5" borderId="1" xfId="4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165" fontId="2" fillId="8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8" borderId="1" xfId="0" applyNumberFormat="1" applyFont="1" applyFill="1" applyBorder="1" applyAlignment="1" applyProtection="1">
      <alignment horizontal="center" vertical="center" wrapText="1"/>
    </xf>
    <xf numFmtId="165" fontId="2" fillId="11" borderId="1" xfId="0" applyNumberFormat="1" applyFont="1" applyFill="1" applyBorder="1" applyAlignment="1" applyProtection="1">
      <alignment horizontal="center" vertical="center" wrapText="1"/>
    </xf>
    <xf numFmtId="164" fontId="2" fillId="8" borderId="1" xfId="4" applyNumberFormat="1" applyFont="1" applyFill="1" applyBorder="1" applyAlignment="1" applyProtection="1">
      <alignment horizontal="center" vertical="center" wrapText="1"/>
      <protection locked="0"/>
    </xf>
    <xf numFmtId="165" fontId="4" fillId="2" borderId="0" xfId="0" applyNumberFormat="1" applyFont="1" applyFill="1" applyAlignment="1" applyProtection="1">
      <alignment horizontal="left" vertical="center"/>
      <protection locked="0"/>
    </xf>
    <xf numFmtId="165" fontId="3" fillId="10" borderId="1" xfId="0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Alignment="1" applyProtection="1">
      <alignment horizontal="left" vertical="center"/>
      <protection locked="0"/>
    </xf>
    <xf numFmtId="165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5" borderId="1" xfId="0" applyNumberFormat="1" applyFont="1" applyFill="1" applyBorder="1" applyAlignment="1" applyProtection="1">
      <alignment horizontal="center" vertical="center" wrapText="1"/>
    </xf>
    <xf numFmtId="165" fontId="2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" fillId="8" borderId="6" xfId="0" applyFont="1" applyFill="1" applyBorder="1" applyAlignment="1" applyProtection="1">
      <alignment horizontal="center" vertical="center" wrapText="1"/>
      <protection locked="0"/>
    </xf>
    <xf numFmtId="0" fontId="0" fillId="8" borderId="7" xfId="0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5 2" xfId="2"/>
    <cellStyle name="Обычный 3" xfId="3"/>
    <cellStyle name="Процентный" xfId="4" builtinId="5"/>
    <cellStyle name="Финансовый" xfId="5" builtinId="3"/>
  </cellStyles>
  <dxfs count="0"/>
  <tableStyles count="0" defaultTableStyle="TableStyleMedium2" defaultPivotStyle="PivotStyleLight16"/>
  <colors>
    <mruColors>
      <color rgb="FF9BFF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259"/>
  <sheetViews>
    <sheetView tabSelected="1" topLeftCell="A10" zoomScale="70" zoomScaleNormal="70" zoomScalePageLayoutView="70" workbookViewId="0">
      <pane ySplit="5" topLeftCell="A213" activePane="bottomLeft" state="frozen"/>
      <selection activeCell="A10" sqref="A10"/>
      <selection pane="bottomLeft" activeCell="L119" sqref="L119"/>
    </sheetView>
  </sheetViews>
  <sheetFormatPr defaultRowHeight="12.75"/>
  <cols>
    <col min="1" max="1" width="3" style="1" customWidth="1"/>
    <col min="2" max="2" width="90" style="1" customWidth="1"/>
    <col min="3" max="3" width="28.7109375" style="1" customWidth="1"/>
    <col min="4" max="5" width="11.5703125" style="5" hidden="1" customWidth="1"/>
    <col min="6" max="17" width="11.5703125" style="5" customWidth="1"/>
    <col min="18" max="19" width="9.140625" style="36"/>
    <col min="20" max="22" width="0" style="36" hidden="1" customWidth="1"/>
    <col min="23" max="23" width="11.5703125" style="36" bestFit="1" customWidth="1"/>
    <col min="24" max="29" width="9.140625" style="36"/>
    <col min="30" max="38" width="9.140625" style="32"/>
    <col min="39" max="16384" width="9.140625" style="1"/>
  </cols>
  <sheetData>
    <row r="2" spans="2:21" ht="20.25">
      <c r="B2" s="42"/>
      <c r="C2" s="42"/>
      <c r="D2" s="43"/>
      <c r="E2" s="43"/>
      <c r="F2" s="43"/>
      <c r="G2" s="43"/>
      <c r="H2" s="43"/>
      <c r="I2" s="43"/>
      <c r="J2" s="43"/>
      <c r="K2" s="43"/>
      <c r="L2" s="77"/>
      <c r="M2" s="76" t="s">
        <v>263</v>
      </c>
      <c r="O2" s="76"/>
      <c r="P2" s="76"/>
      <c r="Q2" s="76"/>
    </row>
    <row r="3" spans="2:21" ht="20.25">
      <c r="B3" s="42"/>
      <c r="C3" s="42"/>
      <c r="D3" s="43"/>
      <c r="E3" s="43"/>
      <c r="F3" s="43"/>
      <c r="G3" s="43"/>
      <c r="H3" s="43"/>
      <c r="I3" s="43"/>
      <c r="J3" s="43"/>
      <c r="K3" s="43"/>
      <c r="L3" s="77"/>
      <c r="M3" s="77" t="s">
        <v>264</v>
      </c>
      <c r="O3" s="77"/>
      <c r="P3" s="77"/>
      <c r="Q3" s="77"/>
    </row>
    <row r="4" spans="2:21" ht="20.25">
      <c r="B4" s="42"/>
      <c r="C4" s="42"/>
      <c r="D4" s="43"/>
      <c r="E4" s="43"/>
      <c r="F4" s="43"/>
      <c r="G4" s="43"/>
      <c r="H4" s="43"/>
      <c r="I4" s="43"/>
      <c r="J4" s="43"/>
      <c r="K4" s="43"/>
      <c r="L4" s="77"/>
      <c r="M4" s="77" t="s">
        <v>265</v>
      </c>
      <c r="O4" s="77"/>
      <c r="P4" s="77"/>
      <c r="Q4" s="77"/>
    </row>
    <row r="5" spans="2:21" ht="20.25">
      <c r="B5" s="42"/>
      <c r="C5" s="42"/>
      <c r="D5" s="43"/>
      <c r="E5" s="43"/>
      <c r="F5" s="43"/>
      <c r="G5" s="43"/>
      <c r="H5" s="43"/>
      <c r="I5" s="43"/>
      <c r="J5" s="43"/>
      <c r="K5" s="43"/>
      <c r="L5" s="77"/>
      <c r="M5" s="77" t="s">
        <v>266</v>
      </c>
      <c r="O5" s="77"/>
      <c r="P5" s="77"/>
      <c r="Q5" s="77"/>
    </row>
    <row r="6" spans="2:21" ht="20.25">
      <c r="B6" s="42"/>
      <c r="C6" s="42"/>
      <c r="D6" s="43"/>
      <c r="E6" s="43"/>
      <c r="F6" s="43"/>
      <c r="G6" s="43"/>
      <c r="H6" s="43"/>
      <c r="I6" s="43"/>
      <c r="J6" s="43"/>
      <c r="K6" s="43"/>
      <c r="L6" s="77"/>
      <c r="M6" s="77" t="s">
        <v>270</v>
      </c>
      <c r="O6" s="77"/>
      <c r="P6" s="77"/>
      <c r="Q6" s="77"/>
    </row>
    <row r="7" spans="2:21" ht="22.5" customHeight="1">
      <c r="B7" s="42"/>
      <c r="C7" s="42"/>
      <c r="D7" s="43"/>
      <c r="E7" s="43"/>
      <c r="F7" s="43"/>
      <c r="G7" s="43"/>
      <c r="H7" s="43"/>
      <c r="I7" s="43"/>
      <c r="J7" s="43"/>
      <c r="K7" s="43"/>
      <c r="L7" s="76"/>
      <c r="M7" s="76"/>
      <c r="N7" s="76"/>
      <c r="O7" s="76"/>
      <c r="P7" s="76"/>
      <c r="Q7" s="76"/>
    </row>
    <row r="8" spans="2:21" ht="20.25" customHeight="1">
      <c r="B8" s="141" t="s">
        <v>269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37"/>
      <c r="S8" s="37"/>
      <c r="T8" s="37"/>
      <c r="U8" s="37"/>
    </row>
    <row r="9" spans="2:21" ht="20.25">
      <c r="B9" s="141" t="s">
        <v>268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</row>
    <row r="10" spans="2:21" ht="22.5" customHeight="1">
      <c r="B10" s="42" t="s">
        <v>106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</row>
    <row r="11" spans="2:21" ht="18.75">
      <c r="B11" s="146" t="s">
        <v>110</v>
      </c>
      <c r="C11" s="146" t="s">
        <v>111</v>
      </c>
      <c r="D11" s="44" t="s">
        <v>112</v>
      </c>
      <c r="E11" s="9" t="s">
        <v>112</v>
      </c>
      <c r="F11" s="156" t="s">
        <v>112</v>
      </c>
      <c r="G11" s="157"/>
      <c r="H11" s="9" t="s">
        <v>113</v>
      </c>
      <c r="I11" s="149" t="s">
        <v>114</v>
      </c>
      <c r="J11" s="149"/>
      <c r="K11" s="149"/>
      <c r="L11" s="149"/>
      <c r="M11" s="149"/>
      <c r="N11" s="149"/>
      <c r="O11" s="149"/>
      <c r="P11" s="149"/>
      <c r="Q11" s="149"/>
    </row>
    <row r="12" spans="2:21" ht="18.75">
      <c r="B12" s="147"/>
      <c r="C12" s="147"/>
      <c r="D12" s="142">
        <v>2019</v>
      </c>
      <c r="E12" s="142">
        <v>2020</v>
      </c>
      <c r="F12" s="142">
        <v>2021</v>
      </c>
      <c r="G12" s="153">
        <v>2022</v>
      </c>
      <c r="H12" s="142">
        <v>2023</v>
      </c>
      <c r="I12" s="150">
        <v>2024</v>
      </c>
      <c r="J12" s="151"/>
      <c r="K12" s="152"/>
      <c r="L12" s="150">
        <v>2025</v>
      </c>
      <c r="M12" s="151"/>
      <c r="N12" s="152"/>
      <c r="O12" s="145">
        <v>2026</v>
      </c>
      <c r="P12" s="145"/>
      <c r="Q12" s="145"/>
    </row>
    <row r="13" spans="2:21" ht="56.25">
      <c r="B13" s="147"/>
      <c r="C13" s="147"/>
      <c r="D13" s="143"/>
      <c r="E13" s="143"/>
      <c r="F13" s="143"/>
      <c r="G13" s="154"/>
      <c r="H13" s="143"/>
      <c r="I13" s="44" t="s">
        <v>208</v>
      </c>
      <c r="J13" s="44" t="s">
        <v>207</v>
      </c>
      <c r="K13" s="44" t="s">
        <v>259</v>
      </c>
      <c r="L13" s="44" t="s">
        <v>208</v>
      </c>
      <c r="M13" s="44" t="s">
        <v>207</v>
      </c>
      <c r="N13" s="44" t="s">
        <v>259</v>
      </c>
      <c r="O13" s="44" t="s">
        <v>208</v>
      </c>
      <c r="P13" s="44" t="s">
        <v>207</v>
      </c>
      <c r="Q13" s="44" t="s">
        <v>259</v>
      </c>
    </row>
    <row r="14" spans="2:21" ht="37.5">
      <c r="B14" s="148"/>
      <c r="C14" s="148"/>
      <c r="D14" s="144"/>
      <c r="E14" s="144"/>
      <c r="F14" s="144"/>
      <c r="G14" s="155"/>
      <c r="H14" s="144"/>
      <c r="I14" s="44" t="s">
        <v>209</v>
      </c>
      <c r="J14" s="44" t="s">
        <v>210</v>
      </c>
      <c r="K14" s="44" t="s">
        <v>260</v>
      </c>
      <c r="L14" s="44" t="s">
        <v>209</v>
      </c>
      <c r="M14" s="44" t="s">
        <v>210</v>
      </c>
      <c r="N14" s="44" t="s">
        <v>260</v>
      </c>
      <c r="O14" s="44" t="s">
        <v>209</v>
      </c>
      <c r="P14" s="44" t="s">
        <v>210</v>
      </c>
      <c r="Q14" s="44" t="s">
        <v>260</v>
      </c>
    </row>
    <row r="15" spans="2:21" ht="18.75">
      <c r="B15" s="45" t="s">
        <v>224</v>
      </c>
      <c r="C15" s="7"/>
      <c r="D15" s="46"/>
      <c r="E15" s="46"/>
      <c r="F15" s="46"/>
      <c r="G15" s="102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2:21" ht="37.5">
      <c r="B16" s="47" t="s">
        <v>221</v>
      </c>
      <c r="C16" s="7" t="s">
        <v>116</v>
      </c>
      <c r="D16" s="78">
        <f>D19+D32+D105+D109</f>
        <v>47.2</v>
      </c>
      <c r="E16" s="78">
        <f>E19+E32+E105+E109</f>
        <v>64.141999999999996</v>
      </c>
      <c r="F16" s="78">
        <f>F19+F32+F105+F109</f>
        <v>75.599999999999994</v>
      </c>
      <c r="G16" s="103">
        <v>121.6</v>
      </c>
      <c r="H16" s="118">
        <f>H19+H32+H105+H109</f>
        <v>95</v>
      </c>
      <c r="I16" s="118">
        <f t="shared" ref="I16:Q16" si="0">I19+I32+I105+I109</f>
        <v>99.8</v>
      </c>
      <c r="J16" s="118">
        <f t="shared" si="0"/>
        <v>100.4</v>
      </c>
      <c r="K16" s="118">
        <f t="shared" si="0"/>
        <v>100.7</v>
      </c>
      <c r="L16" s="118">
        <f t="shared" si="0"/>
        <v>105.30000000000001</v>
      </c>
      <c r="M16" s="118">
        <f t="shared" si="0"/>
        <v>106.6</v>
      </c>
      <c r="N16" s="118">
        <f t="shared" si="0"/>
        <v>107.2</v>
      </c>
      <c r="O16" s="118">
        <f t="shared" si="0"/>
        <v>111.19999999999999</v>
      </c>
      <c r="P16" s="118">
        <f t="shared" si="0"/>
        <v>113.6</v>
      </c>
      <c r="Q16" s="118">
        <f t="shared" si="0"/>
        <v>114.8</v>
      </c>
    </row>
    <row r="17" spans="2:17" ht="56.25">
      <c r="B17" s="47" t="s">
        <v>117</v>
      </c>
      <c r="C17" s="7" t="s">
        <v>66</v>
      </c>
      <c r="D17" s="78">
        <v>93.1</v>
      </c>
      <c r="E17" s="78">
        <f>(E32*E34+E105*E107+E109*E111)/E16</f>
        <v>131.8804838015067</v>
      </c>
      <c r="F17" s="78">
        <f>(F32*F34+F105*F107+F109*F111)/F16</f>
        <v>113.84152983743944</v>
      </c>
      <c r="G17" s="103">
        <v>113.8</v>
      </c>
      <c r="H17" s="118">
        <f t="shared" ref="H17:Q17" si="1">(H32*H34+H105*H107+H109*H111)/H16</f>
        <v>101.38968421052633</v>
      </c>
      <c r="I17" s="118">
        <f t="shared" si="1"/>
        <v>100.63466933867734</v>
      </c>
      <c r="J17" s="118">
        <f t="shared" si="1"/>
        <v>101.27778884462151</v>
      </c>
      <c r="K17" s="118">
        <f t="shared" si="1"/>
        <v>101.64558093346575</v>
      </c>
      <c r="L17" s="118">
        <f t="shared" si="1"/>
        <v>101.24463437796771</v>
      </c>
      <c r="M17" s="118">
        <f t="shared" si="1"/>
        <v>101.88395872420261</v>
      </c>
      <c r="N17" s="118">
        <f t="shared" si="1"/>
        <v>102.08395522388058</v>
      </c>
      <c r="O17" s="118">
        <f t="shared" si="1"/>
        <v>101.5</v>
      </c>
      <c r="P17" s="118">
        <f t="shared" si="1"/>
        <v>102.32262323943661</v>
      </c>
      <c r="Q17" s="118">
        <f t="shared" si="1"/>
        <v>102.78266550522649</v>
      </c>
    </row>
    <row r="18" spans="2:17" ht="18.75">
      <c r="B18" s="48" t="s">
        <v>118</v>
      </c>
      <c r="C18" s="7"/>
      <c r="D18" s="30"/>
      <c r="E18" s="30"/>
      <c r="F18" s="30"/>
      <c r="G18" s="104"/>
      <c r="H18" s="30"/>
      <c r="I18" s="49"/>
      <c r="J18" s="49"/>
      <c r="K18" s="49"/>
      <c r="L18" s="49"/>
      <c r="M18" s="49"/>
      <c r="N18" s="49"/>
      <c r="O18" s="49"/>
      <c r="P18" s="49"/>
      <c r="Q18" s="49"/>
    </row>
    <row r="19" spans="2:17" ht="56.25">
      <c r="B19" s="50" t="s">
        <v>124</v>
      </c>
      <c r="C19" s="7" t="s">
        <v>116</v>
      </c>
      <c r="D19" s="31">
        <f>D22+D25+D28</f>
        <v>0</v>
      </c>
      <c r="E19" s="31">
        <f t="shared" ref="E19:Q19" si="2">E22+E25+E28</f>
        <v>0</v>
      </c>
      <c r="F19" s="31">
        <f t="shared" si="2"/>
        <v>0</v>
      </c>
      <c r="G19" s="103">
        <v>0</v>
      </c>
      <c r="H19" s="118">
        <f t="shared" si="2"/>
        <v>0</v>
      </c>
      <c r="I19" s="118">
        <f t="shared" si="2"/>
        <v>0</v>
      </c>
      <c r="J19" s="118">
        <f t="shared" si="2"/>
        <v>0</v>
      </c>
      <c r="K19" s="118">
        <f t="shared" si="2"/>
        <v>0</v>
      </c>
      <c r="L19" s="118">
        <f t="shared" si="2"/>
        <v>0</v>
      </c>
      <c r="M19" s="118">
        <f t="shared" si="2"/>
        <v>0</v>
      </c>
      <c r="N19" s="118">
        <f t="shared" si="2"/>
        <v>0</v>
      </c>
      <c r="O19" s="118">
        <f t="shared" si="2"/>
        <v>0</v>
      </c>
      <c r="P19" s="118">
        <f t="shared" si="2"/>
        <v>0</v>
      </c>
      <c r="Q19" s="118">
        <f t="shared" si="2"/>
        <v>0</v>
      </c>
    </row>
    <row r="20" spans="2:17" ht="37.5" hidden="1">
      <c r="B20" s="50" t="s">
        <v>125</v>
      </c>
      <c r="C20" s="7" t="s">
        <v>115</v>
      </c>
      <c r="D20" s="30"/>
      <c r="E20" s="30"/>
      <c r="F20" s="30"/>
      <c r="G20" s="104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2:17" ht="56.25" hidden="1">
      <c r="B21" s="50" t="s">
        <v>126</v>
      </c>
      <c r="C21" s="7" t="s">
        <v>66</v>
      </c>
      <c r="D21" s="30"/>
      <c r="E21" s="30"/>
      <c r="F21" s="30"/>
      <c r="G21" s="104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2:17" ht="56.25" hidden="1">
      <c r="B22" s="50" t="s">
        <v>214</v>
      </c>
      <c r="C22" s="7" t="s">
        <v>116</v>
      </c>
      <c r="D22" s="30"/>
      <c r="E22" s="30"/>
      <c r="F22" s="30"/>
      <c r="G22" s="104"/>
      <c r="H22" s="30"/>
      <c r="I22" s="49"/>
      <c r="J22" s="49"/>
      <c r="K22" s="49"/>
      <c r="L22" s="49"/>
      <c r="M22" s="49"/>
      <c r="N22" s="49"/>
      <c r="O22" s="49"/>
      <c r="P22" s="49"/>
      <c r="Q22" s="49"/>
    </row>
    <row r="23" spans="2:17" ht="37.5" hidden="1">
      <c r="B23" s="50" t="s">
        <v>215</v>
      </c>
      <c r="C23" s="7" t="s">
        <v>115</v>
      </c>
      <c r="D23" s="30"/>
      <c r="E23" s="30"/>
      <c r="F23" s="30"/>
      <c r="G23" s="104"/>
      <c r="H23" s="30"/>
      <c r="I23" s="49"/>
      <c r="J23" s="49"/>
      <c r="K23" s="49"/>
      <c r="L23" s="49"/>
      <c r="M23" s="49"/>
      <c r="N23" s="49"/>
      <c r="O23" s="49"/>
      <c r="P23" s="49"/>
      <c r="Q23" s="49"/>
    </row>
    <row r="24" spans="2:17" ht="56.25" hidden="1">
      <c r="B24" s="50" t="s">
        <v>216</v>
      </c>
      <c r="C24" s="7" t="s">
        <v>66</v>
      </c>
      <c r="D24" s="30"/>
      <c r="E24" s="30"/>
      <c r="F24" s="30"/>
      <c r="G24" s="104"/>
      <c r="H24" s="30"/>
      <c r="I24" s="49"/>
      <c r="J24" s="49"/>
      <c r="K24" s="49"/>
      <c r="L24" s="49"/>
      <c r="M24" s="49"/>
      <c r="N24" s="49"/>
      <c r="O24" s="49"/>
      <c r="P24" s="49"/>
      <c r="Q24" s="49"/>
    </row>
    <row r="25" spans="2:17" ht="56.25" hidden="1">
      <c r="B25" s="50" t="s">
        <v>127</v>
      </c>
      <c r="C25" s="7" t="s">
        <v>116</v>
      </c>
      <c r="D25" s="30"/>
      <c r="E25" s="30"/>
      <c r="F25" s="30"/>
      <c r="G25" s="104"/>
      <c r="H25" s="30"/>
      <c r="I25" s="49"/>
      <c r="J25" s="49"/>
      <c r="K25" s="49"/>
      <c r="L25" s="49"/>
      <c r="M25" s="49"/>
      <c r="N25" s="49"/>
      <c r="O25" s="49"/>
      <c r="P25" s="49"/>
      <c r="Q25" s="49"/>
    </row>
    <row r="26" spans="2:17" ht="37.5" hidden="1">
      <c r="B26" s="50" t="s">
        <v>128</v>
      </c>
      <c r="C26" s="7" t="s">
        <v>115</v>
      </c>
      <c r="D26" s="30"/>
      <c r="E26" s="30"/>
      <c r="F26" s="30"/>
      <c r="G26" s="104"/>
      <c r="H26" s="30"/>
      <c r="I26" s="49"/>
      <c r="J26" s="49"/>
      <c r="K26" s="49"/>
      <c r="L26" s="49"/>
      <c r="M26" s="49"/>
      <c r="N26" s="49"/>
      <c r="O26" s="49"/>
      <c r="P26" s="49"/>
      <c r="Q26" s="49"/>
    </row>
    <row r="27" spans="2:17" ht="56.25" hidden="1">
      <c r="B27" s="50" t="s">
        <v>129</v>
      </c>
      <c r="C27" s="7" t="s">
        <v>66</v>
      </c>
      <c r="D27" s="30"/>
      <c r="E27" s="30"/>
      <c r="F27" s="30"/>
      <c r="G27" s="104"/>
      <c r="H27" s="30"/>
      <c r="I27" s="49"/>
      <c r="J27" s="49"/>
      <c r="K27" s="49"/>
      <c r="L27" s="49"/>
      <c r="M27" s="49"/>
      <c r="N27" s="49"/>
      <c r="O27" s="49"/>
      <c r="P27" s="49"/>
      <c r="Q27" s="49"/>
    </row>
    <row r="28" spans="2:17" ht="56.25" hidden="1">
      <c r="B28" s="50" t="s">
        <v>217</v>
      </c>
      <c r="C28" s="7" t="s">
        <v>116</v>
      </c>
      <c r="D28" s="30"/>
      <c r="E28" s="30"/>
      <c r="F28" s="30"/>
      <c r="G28" s="104"/>
      <c r="H28" s="30"/>
      <c r="I28" s="49"/>
      <c r="J28" s="49"/>
      <c r="K28" s="49"/>
      <c r="L28" s="49"/>
      <c r="M28" s="49"/>
      <c r="N28" s="49"/>
      <c r="O28" s="49"/>
      <c r="P28" s="49"/>
      <c r="Q28" s="49"/>
    </row>
    <row r="29" spans="2:17" ht="37.5" hidden="1">
      <c r="B29" s="50" t="s">
        <v>218</v>
      </c>
      <c r="C29" s="7" t="s">
        <v>115</v>
      </c>
      <c r="D29" s="30"/>
      <c r="E29" s="30"/>
      <c r="F29" s="30"/>
      <c r="G29" s="104"/>
      <c r="H29" s="30"/>
      <c r="I29" s="49"/>
      <c r="J29" s="49"/>
      <c r="K29" s="49"/>
      <c r="L29" s="49"/>
      <c r="M29" s="49"/>
      <c r="N29" s="49"/>
      <c r="O29" s="49"/>
      <c r="P29" s="49"/>
      <c r="Q29" s="49"/>
    </row>
    <row r="30" spans="2:17" ht="56.25" hidden="1">
      <c r="B30" s="50" t="s">
        <v>219</v>
      </c>
      <c r="C30" s="7" t="s">
        <v>66</v>
      </c>
      <c r="D30" s="30"/>
      <c r="E30" s="30"/>
      <c r="F30" s="30"/>
      <c r="G30" s="104"/>
      <c r="H30" s="30"/>
      <c r="I30" s="49"/>
      <c r="J30" s="49"/>
      <c r="K30" s="49"/>
      <c r="L30" s="49"/>
      <c r="M30" s="49"/>
      <c r="N30" s="49"/>
      <c r="O30" s="49"/>
      <c r="P30" s="49"/>
      <c r="Q30" s="49"/>
    </row>
    <row r="31" spans="2:17" ht="18.75">
      <c r="B31" s="48" t="s">
        <v>119</v>
      </c>
      <c r="C31" s="51"/>
      <c r="D31" s="30"/>
      <c r="E31" s="30"/>
      <c r="F31" s="30"/>
      <c r="G31" s="104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2:17" ht="56.25">
      <c r="B32" s="50" t="s">
        <v>130</v>
      </c>
      <c r="C32" s="51" t="s">
        <v>116</v>
      </c>
      <c r="D32" s="31">
        <f t="shared" ref="D32:Q32" si="3">D35+D38+D41+D44+D47+D50+D53+D56+D59+D62+D65+D68+D71+D74+D77+D80+D83+D86+D89+D92+D95+D98+D101</f>
        <v>4.2</v>
      </c>
      <c r="E32" s="31">
        <f t="shared" si="3"/>
        <v>4.8</v>
      </c>
      <c r="F32" s="31">
        <f t="shared" si="3"/>
        <v>6.2</v>
      </c>
      <c r="G32" s="103">
        <v>7.3</v>
      </c>
      <c r="H32" s="118">
        <f t="shared" si="3"/>
        <v>7.4</v>
      </c>
      <c r="I32" s="118">
        <f t="shared" si="3"/>
        <v>7.8</v>
      </c>
      <c r="J32" s="118">
        <f t="shared" si="3"/>
        <v>7.9</v>
      </c>
      <c r="K32" s="118">
        <f t="shared" si="3"/>
        <v>7.9</v>
      </c>
      <c r="L32" s="118">
        <f t="shared" si="3"/>
        <v>8.1999999999999993</v>
      </c>
      <c r="M32" s="118">
        <f t="shared" si="3"/>
        <v>8.4</v>
      </c>
      <c r="N32" s="118">
        <f t="shared" si="3"/>
        <v>8.4</v>
      </c>
      <c r="O32" s="118">
        <f t="shared" si="3"/>
        <v>8.6</v>
      </c>
      <c r="P32" s="118">
        <f t="shared" si="3"/>
        <v>9</v>
      </c>
      <c r="Q32" s="118">
        <f t="shared" si="3"/>
        <v>9</v>
      </c>
    </row>
    <row r="33" spans="2:38" s="2" customFormat="1" ht="37.5">
      <c r="B33" s="50" t="s">
        <v>131</v>
      </c>
      <c r="C33" s="7" t="s">
        <v>115</v>
      </c>
      <c r="D33" s="53">
        <v>91.3</v>
      </c>
      <c r="E33" s="53">
        <f>E36</f>
        <v>106.5</v>
      </c>
      <c r="F33" s="53">
        <f>F36</f>
        <v>103.6</v>
      </c>
      <c r="G33" s="105">
        <v>104.9</v>
      </c>
      <c r="H33" s="119">
        <f t="shared" ref="H33:Q33" si="4">H36</f>
        <v>100.6</v>
      </c>
      <c r="I33" s="119">
        <f t="shared" si="4"/>
        <v>105</v>
      </c>
      <c r="J33" s="119">
        <f t="shared" si="4"/>
        <v>104.9</v>
      </c>
      <c r="K33" s="119">
        <f t="shared" si="4"/>
        <v>104.9</v>
      </c>
      <c r="L33" s="119">
        <f t="shared" si="4"/>
        <v>104</v>
      </c>
      <c r="M33" s="119">
        <f t="shared" si="4"/>
        <v>104</v>
      </c>
      <c r="N33" s="119">
        <f t="shared" si="4"/>
        <v>104</v>
      </c>
      <c r="O33" s="119">
        <f t="shared" si="4"/>
        <v>103.8</v>
      </c>
      <c r="P33" s="119">
        <f t="shared" si="4"/>
        <v>103.9</v>
      </c>
      <c r="Q33" s="119">
        <f t="shared" si="4"/>
        <v>103.9</v>
      </c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2:38" s="2" customFormat="1" ht="56.25">
      <c r="B34" s="50" t="s">
        <v>132</v>
      </c>
      <c r="C34" s="7" t="s">
        <v>66</v>
      </c>
      <c r="D34" s="53">
        <f>D37</f>
        <v>88</v>
      </c>
      <c r="E34" s="53">
        <f t="shared" ref="E34:Q34" si="5">E37</f>
        <v>107.3</v>
      </c>
      <c r="F34" s="53">
        <f t="shared" si="5"/>
        <v>124.6782496782497</v>
      </c>
      <c r="G34" s="105">
        <v>112.2</v>
      </c>
      <c r="H34" s="119">
        <f t="shared" si="5"/>
        <v>101</v>
      </c>
      <c r="I34" s="119">
        <f t="shared" si="5"/>
        <v>101</v>
      </c>
      <c r="J34" s="119">
        <f t="shared" si="5"/>
        <v>102.1</v>
      </c>
      <c r="K34" s="119">
        <f t="shared" si="5"/>
        <v>102.1</v>
      </c>
      <c r="L34" s="119">
        <f t="shared" si="5"/>
        <v>101.2</v>
      </c>
      <c r="M34" s="119">
        <f t="shared" si="5"/>
        <v>102.3</v>
      </c>
      <c r="N34" s="119">
        <f t="shared" si="5"/>
        <v>102.3</v>
      </c>
      <c r="O34" s="119">
        <f t="shared" si="5"/>
        <v>101.5</v>
      </c>
      <c r="P34" s="119">
        <f t="shared" si="5"/>
        <v>103.1</v>
      </c>
      <c r="Q34" s="119">
        <f t="shared" si="5"/>
        <v>103.1</v>
      </c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2:38" s="2" customFormat="1" ht="56.25">
      <c r="B35" s="50" t="s">
        <v>133</v>
      </c>
      <c r="C35" s="7" t="s">
        <v>116</v>
      </c>
      <c r="D35" s="52">
        <v>4.2</v>
      </c>
      <c r="E35" s="52">
        <v>4.8</v>
      </c>
      <c r="F35" s="52">
        <v>6.2</v>
      </c>
      <c r="G35" s="105">
        <v>7.3</v>
      </c>
      <c r="H35" s="119">
        <f>ROUND(G35*H36*H37/10000, 1)</f>
        <v>7.4</v>
      </c>
      <c r="I35" s="119">
        <f>ROUND(H35*I36*I37/10000, 1)</f>
        <v>7.8</v>
      </c>
      <c r="J35" s="119">
        <f>ROUND(H35*J36*J37/10000, 1)</f>
        <v>7.9</v>
      </c>
      <c r="K35" s="119">
        <f t="shared" ref="K35:Q35" si="6">ROUND(H35*K36*K37/10000, 1)</f>
        <v>7.9</v>
      </c>
      <c r="L35" s="119">
        <f t="shared" si="6"/>
        <v>8.1999999999999993</v>
      </c>
      <c r="M35" s="119">
        <f t="shared" si="6"/>
        <v>8.4</v>
      </c>
      <c r="N35" s="119">
        <f t="shared" si="6"/>
        <v>8.4</v>
      </c>
      <c r="O35" s="119">
        <f t="shared" si="6"/>
        <v>8.6</v>
      </c>
      <c r="P35" s="119">
        <f t="shared" si="6"/>
        <v>9</v>
      </c>
      <c r="Q35" s="119">
        <f t="shared" si="6"/>
        <v>9</v>
      </c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2:38" s="2" customFormat="1" ht="37.5">
      <c r="B36" s="50" t="s">
        <v>134</v>
      </c>
      <c r="C36" s="7" t="s">
        <v>115</v>
      </c>
      <c r="D36" s="54">
        <v>91.3</v>
      </c>
      <c r="E36" s="54">
        <v>106.5</v>
      </c>
      <c r="F36" s="54">
        <v>103.6</v>
      </c>
      <c r="G36" s="120">
        <v>106.9</v>
      </c>
      <c r="H36" s="120">
        <v>100.6</v>
      </c>
      <c r="I36" s="121">
        <v>105</v>
      </c>
      <c r="J36" s="121">
        <v>104.9</v>
      </c>
      <c r="K36" s="121">
        <v>104.9</v>
      </c>
      <c r="L36" s="121">
        <v>104</v>
      </c>
      <c r="M36" s="121">
        <v>104</v>
      </c>
      <c r="N36" s="121">
        <v>104</v>
      </c>
      <c r="O36" s="121">
        <v>103.8</v>
      </c>
      <c r="P36" s="121">
        <v>103.9</v>
      </c>
      <c r="Q36" s="121">
        <v>103.9</v>
      </c>
      <c r="R36" s="39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2:38" s="2" customFormat="1" ht="56.25">
      <c r="B37" s="50" t="s">
        <v>135</v>
      </c>
      <c r="C37" s="7" t="s">
        <v>66</v>
      </c>
      <c r="D37" s="52">
        <v>88</v>
      </c>
      <c r="E37" s="52">
        <v>107.3</v>
      </c>
      <c r="F37" s="52">
        <f>F35/E35/F36*10000</f>
        <v>124.6782496782497</v>
      </c>
      <c r="G37" s="52">
        <v>112.2</v>
      </c>
      <c r="H37" s="52">
        <v>101</v>
      </c>
      <c r="I37" s="52">
        <v>101</v>
      </c>
      <c r="J37" s="52">
        <v>102.1</v>
      </c>
      <c r="K37" s="52">
        <v>102.1</v>
      </c>
      <c r="L37" s="52">
        <v>101.2</v>
      </c>
      <c r="M37" s="52">
        <v>102.3</v>
      </c>
      <c r="N37" s="52">
        <v>102.3</v>
      </c>
      <c r="O37" s="52">
        <v>101.5</v>
      </c>
      <c r="P37" s="52">
        <v>103.1</v>
      </c>
      <c r="Q37" s="52">
        <v>103.1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2:38" ht="37.5" hidden="1">
      <c r="B38" s="50" t="s">
        <v>136</v>
      </c>
      <c r="C38" s="7" t="s">
        <v>116</v>
      </c>
      <c r="D38" s="30"/>
      <c r="E38" s="30"/>
      <c r="F38" s="30"/>
      <c r="G38" s="104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2:38" ht="37.5" hidden="1">
      <c r="B39" s="50" t="s">
        <v>137</v>
      </c>
      <c r="C39" s="7" t="s">
        <v>115</v>
      </c>
      <c r="D39" s="30"/>
      <c r="E39" s="30"/>
      <c r="F39" s="30"/>
      <c r="G39" s="104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2:38" ht="56.25" hidden="1">
      <c r="B40" s="50" t="s">
        <v>138</v>
      </c>
      <c r="C40" s="7" t="s">
        <v>66</v>
      </c>
      <c r="D40" s="30"/>
      <c r="E40" s="30"/>
      <c r="F40" s="30"/>
      <c r="G40" s="104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2:38" ht="56.25" hidden="1">
      <c r="B41" s="50" t="s">
        <v>139</v>
      </c>
      <c r="C41" s="7" t="s">
        <v>116</v>
      </c>
      <c r="D41" s="30"/>
      <c r="E41" s="30"/>
      <c r="F41" s="30"/>
      <c r="G41" s="104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2:38" ht="37.5" hidden="1">
      <c r="B42" s="50" t="s">
        <v>140</v>
      </c>
      <c r="C42" s="7" t="s">
        <v>115</v>
      </c>
      <c r="D42" s="30"/>
      <c r="E42" s="30"/>
      <c r="F42" s="30"/>
      <c r="G42" s="104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2:38" ht="37.5" hidden="1">
      <c r="B43" s="50" t="s">
        <v>141</v>
      </c>
      <c r="C43" s="7" t="s">
        <v>115</v>
      </c>
      <c r="D43" s="30"/>
      <c r="E43" s="30"/>
      <c r="F43" s="30"/>
      <c r="G43" s="104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2:38" ht="37.5" hidden="1">
      <c r="B44" s="50" t="s">
        <v>142</v>
      </c>
      <c r="C44" s="7" t="s">
        <v>116</v>
      </c>
      <c r="D44" s="30"/>
      <c r="E44" s="30"/>
      <c r="F44" s="30"/>
      <c r="G44" s="104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2:38" ht="37.5" hidden="1">
      <c r="B45" s="50" t="s">
        <v>143</v>
      </c>
      <c r="C45" s="7" t="s">
        <v>115</v>
      </c>
      <c r="D45" s="30"/>
      <c r="E45" s="30"/>
      <c r="F45" s="30"/>
      <c r="G45" s="104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2:38" ht="56.25" hidden="1">
      <c r="B46" s="50" t="s">
        <v>144</v>
      </c>
      <c r="C46" s="7" t="s">
        <v>66</v>
      </c>
      <c r="D46" s="30"/>
      <c r="E46" s="30"/>
      <c r="F46" s="30"/>
      <c r="G46" s="104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2:38" ht="56.25" hidden="1">
      <c r="B47" s="50" t="s">
        <v>145</v>
      </c>
      <c r="C47" s="51" t="s">
        <v>116</v>
      </c>
      <c r="D47" s="30"/>
      <c r="E47" s="30"/>
      <c r="F47" s="30"/>
      <c r="G47" s="104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2:38" ht="37.5" hidden="1">
      <c r="B48" s="50" t="s">
        <v>146</v>
      </c>
      <c r="C48" s="51" t="s">
        <v>115</v>
      </c>
      <c r="D48" s="30"/>
      <c r="E48" s="30"/>
      <c r="F48" s="30"/>
      <c r="G48" s="104"/>
      <c r="H48" s="30"/>
      <c r="I48" s="30"/>
      <c r="J48" s="30"/>
      <c r="K48" s="30"/>
      <c r="L48" s="30"/>
      <c r="M48" s="30"/>
      <c r="N48" s="30"/>
      <c r="O48" s="30"/>
      <c r="P48" s="30"/>
      <c r="Q48" s="30"/>
    </row>
    <row r="49" spans="2:17" ht="56.25" hidden="1">
      <c r="B49" s="50" t="s">
        <v>147</v>
      </c>
      <c r="C49" s="51" t="s">
        <v>66</v>
      </c>
      <c r="D49" s="30"/>
      <c r="E49" s="30"/>
      <c r="F49" s="30"/>
      <c r="G49" s="104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spans="2:17" ht="75" hidden="1">
      <c r="B50" s="50" t="s">
        <v>148</v>
      </c>
      <c r="C50" s="51" t="s">
        <v>116</v>
      </c>
      <c r="D50" s="30"/>
      <c r="E50" s="30"/>
      <c r="F50" s="30"/>
      <c r="G50" s="104"/>
      <c r="H50" s="30"/>
      <c r="I50" s="30"/>
      <c r="J50" s="30"/>
      <c r="K50" s="30"/>
      <c r="L50" s="30"/>
      <c r="M50" s="30"/>
      <c r="N50" s="30"/>
      <c r="O50" s="30"/>
      <c r="P50" s="30"/>
      <c r="Q50" s="30"/>
    </row>
    <row r="51" spans="2:17" ht="56.25" hidden="1">
      <c r="B51" s="50" t="s">
        <v>149</v>
      </c>
      <c r="C51" s="51" t="s">
        <v>115</v>
      </c>
      <c r="D51" s="30"/>
      <c r="E51" s="30"/>
      <c r="F51" s="30"/>
      <c r="G51" s="104"/>
      <c r="H51" s="30"/>
      <c r="I51" s="30"/>
      <c r="J51" s="30"/>
      <c r="K51" s="30"/>
      <c r="L51" s="30"/>
      <c r="M51" s="30"/>
      <c r="N51" s="30"/>
      <c r="O51" s="30"/>
      <c r="P51" s="30"/>
      <c r="Q51" s="30"/>
    </row>
    <row r="52" spans="2:17" ht="56.25" hidden="1">
      <c r="B52" s="50" t="s">
        <v>150</v>
      </c>
      <c r="C52" s="51" t="s">
        <v>115</v>
      </c>
      <c r="D52" s="30"/>
      <c r="E52" s="30"/>
      <c r="F52" s="30"/>
      <c r="G52" s="104"/>
      <c r="H52" s="30"/>
      <c r="I52" s="30"/>
      <c r="J52" s="30"/>
      <c r="K52" s="30"/>
      <c r="L52" s="30"/>
      <c r="M52" s="30"/>
      <c r="N52" s="30"/>
      <c r="O52" s="30"/>
      <c r="P52" s="30"/>
      <c r="Q52" s="30"/>
    </row>
    <row r="53" spans="2:17" ht="56.25" hidden="1">
      <c r="B53" s="50" t="s">
        <v>151</v>
      </c>
      <c r="C53" s="51" t="s">
        <v>116</v>
      </c>
      <c r="D53" s="30"/>
      <c r="E53" s="30"/>
      <c r="F53" s="30"/>
      <c r="G53" s="104"/>
      <c r="H53" s="30"/>
      <c r="I53" s="30"/>
      <c r="J53" s="30"/>
      <c r="K53" s="30"/>
      <c r="L53" s="30"/>
      <c r="M53" s="30"/>
      <c r="N53" s="30"/>
      <c r="O53" s="30"/>
      <c r="P53" s="30"/>
      <c r="Q53" s="30"/>
    </row>
    <row r="54" spans="2:17" ht="37.5" hidden="1">
      <c r="B54" s="50" t="s">
        <v>152</v>
      </c>
      <c r="C54" s="51" t="s">
        <v>115</v>
      </c>
      <c r="D54" s="30"/>
      <c r="E54" s="30"/>
      <c r="F54" s="30"/>
      <c r="G54" s="104"/>
      <c r="H54" s="30"/>
      <c r="I54" s="30"/>
      <c r="J54" s="30"/>
      <c r="K54" s="30"/>
      <c r="L54" s="30"/>
      <c r="M54" s="30"/>
      <c r="N54" s="30"/>
      <c r="O54" s="30"/>
      <c r="P54" s="30"/>
      <c r="Q54" s="30"/>
    </row>
    <row r="55" spans="2:17" ht="56.25" hidden="1">
      <c r="B55" s="50" t="s">
        <v>153</v>
      </c>
      <c r="C55" s="51" t="s">
        <v>66</v>
      </c>
      <c r="D55" s="30"/>
      <c r="E55" s="30"/>
      <c r="F55" s="30"/>
      <c r="G55" s="104"/>
      <c r="H55" s="30"/>
      <c r="I55" s="30"/>
      <c r="J55" s="30"/>
      <c r="K55" s="30"/>
      <c r="L55" s="30"/>
      <c r="M55" s="30"/>
      <c r="N55" s="30"/>
      <c r="O55" s="30"/>
      <c r="P55" s="30"/>
      <c r="Q55" s="30"/>
    </row>
    <row r="56" spans="2:17" ht="56.25" hidden="1">
      <c r="B56" s="50" t="s">
        <v>154</v>
      </c>
      <c r="C56" s="7" t="s">
        <v>116</v>
      </c>
      <c r="D56" s="30"/>
      <c r="E56" s="30"/>
      <c r="F56" s="30"/>
      <c r="G56" s="104"/>
      <c r="H56" s="30"/>
      <c r="I56" s="30"/>
      <c r="J56" s="30"/>
      <c r="K56" s="30"/>
      <c r="L56" s="30"/>
      <c r="M56" s="30"/>
      <c r="N56" s="30"/>
      <c r="O56" s="30"/>
      <c r="P56" s="30"/>
      <c r="Q56" s="30"/>
    </row>
    <row r="57" spans="2:17" ht="37.5" hidden="1">
      <c r="B57" s="50" t="s">
        <v>155</v>
      </c>
      <c r="C57" s="7" t="s">
        <v>115</v>
      </c>
      <c r="D57" s="30"/>
      <c r="E57" s="30"/>
      <c r="F57" s="30"/>
      <c r="G57" s="104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2:17" ht="56.25" hidden="1">
      <c r="B58" s="50" t="s">
        <v>156</v>
      </c>
      <c r="C58" s="7" t="s">
        <v>66</v>
      </c>
      <c r="D58" s="30"/>
      <c r="E58" s="30"/>
      <c r="F58" s="30"/>
      <c r="G58" s="104"/>
      <c r="H58" s="30"/>
      <c r="I58" s="30"/>
      <c r="J58" s="30"/>
      <c r="K58" s="30"/>
      <c r="L58" s="30"/>
      <c r="M58" s="30"/>
      <c r="N58" s="30"/>
      <c r="O58" s="30"/>
      <c r="P58" s="30"/>
      <c r="Q58" s="30"/>
    </row>
    <row r="59" spans="2:17" ht="56.25" hidden="1">
      <c r="B59" s="50" t="s">
        <v>157</v>
      </c>
      <c r="C59" s="51" t="s">
        <v>116</v>
      </c>
      <c r="D59" s="30"/>
      <c r="E59" s="30"/>
      <c r="F59" s="30"/>
      <c r="G59" s="104"/>
      <c r="H59" s="30"/>
      <c r="I59" s="30"/>
      <c r="J59" s="30"/>
      <c r="K59" s="30"/>
      <c r="L59" s="30"/>
      <c r="M59" s="30"/>
      <c r="N59" s="30"/>
      <c r="O59" s="30"/>
      <c r="P59" s="30"/>
      <c r="Q59" s="30"/>
    </row>
    <row r="60" spans="2:17" ht="37.5" hidden="1">
      <c r="B60" s="50" t="s">
        <v>158</v>
      </c>
      <c r="C60" s="51" t="s">
        <v>115</v>
      </c>
      <c r="D60" s="30"/>
      <c r="E60" s="30"/>
      <c r="F60" s="30"/>
      <c r="G60" s="104"/>
      <c r="H60" s="30"/>
      <c r="I60" s="30"/>
      <c r="J60" s="30"/>
      <c r="K60" s="30"/>
      <c r="L60" s="30"/>
      <c r="M60" s="30"/>
      <c r="N60" s="30"/>
      <c r="O60" s="30"/>
      <c r="P60" s="30"/>
      <c r="Q60" s="30"/>
    </row>
    <row r="61" spans="2:17" ht="56.25" hidden="1">
      <c r="B61" s="50" t="s">
        <v>159</v>
      </c>
      <c r="C61" s="51" t="s">
        <v>66</v>
      </c>
      <c r="D61" s="30"/>
      <c r="E61" s="30"/>
      <c r="F61" s="30"/>
      <c r="G61" s="104"/>
      <c r="H61" s="30"/>
      <c r="I61" s="30"/>
      <c r="J61" s="30"/>
      <c r="K61" s="30"/>
      <c r="L61" s="30"/>
      <c r="M61" s="30"/>
      <c r="N61" s="30"/>
      <c r="O61" s="30"/>
      <c r="P61" s="30"/>
      <c r="Q61" s="30"/>
    </row>
    <row r="62" spans="2:17" ht="56.25" hidden="1">
      <c r="B62" s="50" t="s">
        <v>160</v>
      </c>
      <c r="C62" s="51" t="s">
        <v>116</v>
      </c>
      <c r="D62" s="30"/>
      <c r="E62" s="30"/>
      <c r="F62" s="30"/>
      <c r="G62" s="104"/>
      <c r="H62" s="30"/>
      <c r="I62" s="30"/>
      <c r="J62" s="30"/>
      <c r="K62" s="30"/>
      <c r="L62" s="30"/>
      <c r="M62" s="30"/>
      <c r="N62" s="30"/>
      <c r="O62" s="30"/>
      <c r="P62" s="30"/>
      <c r="Q62" s="30"/>
    </row>
    <row r="63" spans="2:17" ht="37.5" hidden="1">
      <c r="B63" s="50" t="s">
        <v>161</v>
      </c>
      <c r="C63" s="51" t="s">
        <v>115</v>
      </c>
      <c r="D63" s="30"/>
      <c r="E63" s="30"/>
      <c r="F63" s="30"/>
      <c r="G63" s="104"/>
      <c r="H63" s="30"/>
      <c r="I63" s="30"/>
      <c r="J63" s="30"/>
      <c r="K63" s="30"/>
      <c r="L63" s="30"/>
      <c r="M63" s="30"/>
      <c r="N63" s="30"/>
      <c r="O63" s="30"/>
      <c r="P63" s="30"/>
      <c r="Q63" s="30"/>
    </row>
    <row r="64" spans="2:17" ht="56.25" hidden="1">
      <c r="B64" s="50" t="s">
        <v>162</v>
      </c>
      <c r="C64" s="51" t="s">
        <v>66</v>
      </c>
      <c r="D64" s="30"/>
      <c r="E64" s="30"/>
      <c r="F64" s="30"/>
      <c r="G64" s="104"/>
      <c r="H64" s="30"/>
      <c r="I64" s="30"/>
      <c r="J64" s="30"/>
      <c r="K64" s="30"/>
      <c r="L64" s="30"/>
      <c r="M64" s="30"/>
      <c r="N64" s="30"/>
      <c r="O64" s="30"/>
      <c r="P64" s="30"/>
      <c r="Q64" s="30"/>
    </row>
    <row r="65" spans="2:17" ht="56.25" hidden="1">
      <c r="B65" s="50" t="s">
        <v>163</v>
      </c>
      <c r="C65" s="7" t="s">
        <v>116</v>
      </c>
      <c r="D65" s="30"/>
      <c r="E65" s="30"/>
      <c r="F65" s="30"/>
      <c r="G65" s="104"/>
      <c r="H65" s="30"/>
      <c r="I65" s="30"/>
      <c r="J65" s="30"/>
      <c r="K65" s="30"/>
      <c r="L65" s="30"/>
      <c r="M65" s="30"/>
      <c r="N65" s="30"/>
      <c r="O65" s="30"/>
      <c r="P65" s="30"/>
      <c r="Q65" s="30"/>
    </row>
    <row r="66" spans="2:17" ht="37.5" hidden="1">
      <c r="B66" s="50" t="s">
        <v>164</v>
      </c>
      <c r="C66" s="7" t="s">
        <v>115</v>
      </c>
      <c r="D66" s="30"/>
      <c r="E66" s="30"/>
      <c r="F66" s="30"/>
      <c r="G66" s="104"/>
      <c r="H66" s="30"/>
      <c r="I66" s="30"/>
      <c r="J66" s="30"/>
      <c r="K66" s="30"/>
      <c r="L66" s="30"/>
      <c r="M66" s="30"/>
      <c r="N66" s="30"/>
      <c r="O66" s="30"/>
      <c r="P66" s="30"/>
      <c r="Q66" s="30"/>
    </row>
    <row r="67" spans="2:17" ht="56.25" hidden="1">
      <c r="B67" s="50" t="s">
        <v>165</v>
      </c>
      <c r="C67" s="7" t="s">
        <v>66</v>
      </c>
      <c r="D67" s="30"/>
      <c r="E67" s="30"/>
      <c r="F67" s="30"/>
      <c r="G67" s="104"/>
      <c r="H67" s="30"/>
      <c r="I67" s="30"/>
      <c r="J67" s="30"/>
      <c r="K67" s="30"/>
      <c r="L67" s="30"/>
      <c r="M67" s="30"/>
      <c r="N67" s="30"/>
      <c r="O67" s="30"/>
      <c r="P67" s="30"/>
      <c r="Q67" s="30"/>
    </row>
    <row r="68" spans="2:17" ht="56.25" hidden="1">
      <c r="B68" s="50" t="s">
        <v>166</v>
      </c>
      <c r="C68" s="51" t="s">
        <v>116</v>
      </c>
      <c r="D68" s="30"/>
      <c r="E68" s="30"/>
      <c r="F68" s="30"/>
      <c r="G68" s="104"/>
      <c r="H68" s="30"/>
      <c r="I68" s="30"/>
      <c r="J68" s="30"/>
      <c r="K68" s="30"/>
      <c r="L68" s="30"/>
      <c r="M68" s="30"/>
      <c r="N68" s="30"/>
      <c r="O68" s="30"/>
      <c r="P68" s="30"/>
      <c r="Q68" s="30"/>
    </row>
    <row r="69" spans="2:17" ht="37.5" hidden="1">
      <c r="B69" s="50" t="s">
        <v>167</v>
      </c>
      <c r="C69" s="51" t="s">
        <v>115</v>
      </c>
      <c r="D69" s="30"/>
      <c r="E69" s="30"/>
      <c r="F69" s="30"/>
      <c r="G69" s="104"/>
      <c r="H69" s="30"/>
      <c r="I69" s="30"/>
      <c r="J69" s="30"/>
      <c r="K69" s="30"/>
      <c r="L69" s="30"/>
      <c r="M69" s="30"/>
      <c r="N69" s="30"/>
      <c r="O69" s="30"/>
      <c r="P69" s="30"/>
      <c r="Q69" s="30"/>
    </row>
    <row r="70" spans="2:17" ht="37.5" hidden="1">
      <c r="B70" s="50" t="s">
        <v>168</v>
      </c>
      <c r="C70" s="51" t="s">
        <v>115</v>
      </c>
      <c r="D70" s="30"/>
      <c r="E70" s="30"/>
      <c r="F70" s="30"/>
      <c r="G70" s="104"/>
      <c r="H70" s="30"/>
      <c r="I70" s="30"/>
      <c r="J70" s="30"/>
      <c r="K70" s="30"/>
      <c r="L70" s="30"/>
      <c r="M70" s="30"/>
      <c r="N70" s="30"/>
      <c r="O70" s="30"/>
      <c r="P70" s="30"/>
      <c r="Q70" s="30"/>
    </row>
    <row r="71" spans="2:17" ht="56.25" hidden="1">
      <c r="B71" s="50" t="s">
        <v>169</v>
      </c>
      <c r="C71" s="51" t="s">
        <v>116</v>
      </c>
      <c r="D71" s="30"/>
      <c r="E71" s="30"/>
      <c r="F71" s="30"/>
      <c r="G71" s="104"/>
      <c r="H71" s="30"/>
      <c r="I71" s="30"/>
      <c r="J71" s="30"/>
      <c r="K71" s="30"/>
      <c r="L71" s="30"/>
      <c r="M71" s="30"/>
      <c r="N71" s="30"/>
      <c r="O71" s="30"/>
      <c r="P71" s="30"/>
      <c r="Q71" s="30"/>
    </row>
    <row r="72" spans="2:17" ht="37.5" hidden="1">
      <c r="B72" s="50" t="s">
        <v>170</v>
      </c>
      <c r="C72" s="51" t="s">
        <v>115</v>
      </c>
      <c r="D72" s="30"/>
      <c r="E72" s="30"/>
      <c r="F72" s="30"/>
      <c r="G72" s="104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2:17" ht="56.25" hidden="1">
      <c r="B73" s="50" t="s">
        <v>171</v>
      </c>
      <c r="C73" s="51" t="s">
        <v>66</v>
      </c>
      <c r="D73" s="30"/>
      <c r="E73" s="30"/>
      <c r="F73" s="30"/>
      <c r="G73" s="104"/>
      <c r="H73" s="30"/>
      <c r="I73" s="30"/>
      <c r="J73" s="30"/>
      <c r="K73" s="30"/>
      <c r="L73" s="30"/>
      <c r="M73" s="30"/>
      <c r="N73" s="30"/>
      <c r="O73" s="30"/>
      <c r="P73" s="30"/>
      <c r="Q73" s="30"/>
    </row>
    <row r="74" spans="2:17" ht="37.5" hidden="1">
      <c r="B74" s="50" t="s">
        <v>172</v>
      </c>
      <c r="C74" s="51" t="s">
        <v>116</v>
      </c>
      <c r="D74" s="30"/>
      <c r="E74" s="30"/>
      <c r="F74" s="30"/>
      <c r="G74" s="104"/>
      <c r="H74" s="30"/>
      <c r="I74" s="30"/>
      <c r="J74" s="30"/>
      <c r="K74" s="30"/>
      <c r="L74" s="30"/>
      <c r="M74" s="30"/>
      <c r="N74" s="30"/>
      <c r="O74" s="30"/>
      <c r="P74" s="30"/>
      <c r="Q74" s="30"/>
    </row>
    <row r="75" spans="2:17" ht="37.5" hidden="1">
      <c r="B75" s="50" t="s">
        <v>173</v>
      </c>
      <c r="C75" s="51" t="s">
        <v>115</v>
      </c>
      <c r="D75" s="30"/>
      <c r="E75" s="30"/>
      <c r="F75" s="30"/>
      <c r="G75" s="104"/>
      <c r="H75" s="30"/>
      <c r="I75" s="30"/>
      <c r="J75" s="30"/>
      <c r="K75" s="30"/>
      <c r="L75" s="30"/>
      <c r="M75" s="30"/>
      <c r="N75" s="30"/>
      <c r="O75" s="30"/>
      <c r="P75" s="30"/>
      <c r="Q75" s="30"/>
    </row>
    <row r="76" spans="2:17" ht="56.25" hidden="1">
      <c r="B76" s="50" t="s">
        <v>174</v>
      </c>
      <c r="C76" s="51" t="s">
        <v>66</v>
      </c>
      <c r="D76" s="30"/>
      <c r="E76" s="30"/>
      <c r="F76" s="30"/>
      <c r="G76" s="104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2:17" ht="56.25" hidden="1">
      <c r="B77" s="50" t="s">
        <v>175</v>
      </c>
      <c r="C77" s="7" t="s">
        <v>116</v>
      </c>
      <c r="D77" s="30"/>
      <c r="E77" s="30"/>
      <c r="F77" s="30"/>
      <c r="G77" s="104"/>
      <c r="H77" s="30"/>
      <c r="I77" s="30"/>
      <c r="J77" s="30"/>
      <c r="K77" s="30"/>
      <c r="L77" s="30"/>
      <c r="M77" s="30"/>
      <c r="N77" s="30"/>
      <c r="O77" s="30"/>
      <c r="P77" s="30"/>
      <c r="Q77" s="30"/>
    </row>
    <row r="78" spans="2:17" ht="37.5" hidden="1">
      <c r="B78" s="50" t="s">
        <v>176</v>
      </c>
      <c r="C78" s="7" t="s">
        <v>115</v>
      </c>
      <c r="D78" s="30"/>
      <c r="E78" s="30"/>
      <c r="F78" s="30"/>
      <c r="G78" s="104"/>
      <c r="H78" s="30"/>
      <c r="I78" s="30"/>
      <c r="J78" s="30"/>
      <c r="K78" s="30"/>
      <c r="L78" s="30"/>
      <c r="M78" s="30"/>
      <c r="N78" s="30"/>
      <c r="O78" s="30"/>
      <c r="P78" s="30"/>
      <c r="Q78" s="30"/>
    </row>
    <row r="79" spans="2:17" ht="56.25" hidden="1">
      <c r="B79" s="50" t="s">
        <v>177</v>
      </c>
      <c r="C79" s="7" t="s">
        <v>66</v>
      </c>
      <c r="D79" s="30"/>
      <c r="E79" s="30"/>
      <c r="F79" s="30"/>
      <c r="G79" s="104"/>
      <c r="H79" s="30"/>
      <c r="I79" s="30"/>
      <c r="J79" s="30"/>
      <c r="K79" s="30"/>
      <c r="L79" s="30"/>
      <c r="M79" s="30"/>
      <c r="N79" s="30"/>
      <c r="O79" s="30"/>
      <c r="P79" s="30"/>
      <c r="Q79" s="30"/>
    </row>
    <row r="80" spans="2:17" ht="56.25" hidden="1">
      <c r="B80" s="50" t="s">
        <v>178</v>
      </c>
      <c r="C80" s="7" t="s">
        <v>116</v>
      </c>
      <c r="D80" s="30"/>
      <c r="E80" s="30"/>
      <c r="F80" s="30"/>
      <c r="G80" s="104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2:17" ht="37.5" hidden="1">
      <c r="B81" s="50" t="s">
        <v>179</v>
      </c>
      <c r="C81" s="7" t="s">
        <v>115</v>
      </c>
      <c r="D81" s="30"/>
      <c r="E81" s="30"/>
      <c r="F81" s="30"/>
      <c r="G81" s="104"/>
      <c r="H81" s="30"/>
      <c r="I81" s="30"/>
      <c r="J81" s="30"/>
      <c r="K81" s="30"/>
      <c r="L81" s="30"/>
      <c r="M81" s="30"/>
      <c r="N81" s="30"/>
      <c r="O81" s="30"/>
      <c r="P81" s="30"/>
      <c r="Q81" s="30"/>
    </row>
    <row r="82" spans="2:17" ht="56.25" hidden="1">
      <c r="B82" s="50" t="s">
        <v>180</v>
      </c>
      <c r="C82" s="7" t="s">
        <v>66</v>
      </c>
      <c r="D82" s="30"/>
      <c r="E82" s="30"/>
      <c r="F82" s="30"/>
      <c r="G82" s="104"/>
      <c r="H82" s="30"/>
      <c r="I82" s="30"/>
      <c r="J82" s="30"/>
      <c r="K82" s="30"/>
      <c r="L82" s="30"/>
      <c r="M82" s="30"/>
      <c r="N82" s="30"/>
      <c r="O82" s="30"/>
      <c r="P82" s="30"/>
      <c r="Q82" s="30"/>
    </row>
    <row r="83" spans="2:17" ht="56.25" hidden="1">
      <c r="B83" s="50" t="s">
        <v>181</v>
      </c>
      <c r="C83" s="51" t="s">
        <v>116</v>
      </c>
      <c r="D83" s="30"/>
      <c r="E83" s="30"/>
      <c r="F83" s="30"/>
      <c r="G83" s="104"/>
      <c r="H83" s="30"/>
      <c r="I83" s="30"/>
      <c r="J83" s="30"/>
      <c r="K83" s="30"/>
      <c r="L83" s="30"/>
      <c r="M83" s="30"/>
      <c r="N83" s="30"/>
      <c r="O83" s="30"/>
      <c r="P83" s="30"/>
      <c r="Q83" s="30"/>
    </row>
    <row r="84" spans="2:17" ht="37.5" hidden="1">
      <c r="B84" s="50" t="s">
        <v>182</v>
      </c>
      <c r="C84" s="51" t="s">
        <v>115</v>
      </c>
      <c r="D84" s="30"/>
      <c r="E84" s="30"/>
      <c r="F84" s="30"/>
      <c r="G84" s="104"/>
      <c r="H84" s="30"/>
      <c r="I84" s="30"/>
      <c r="J84" s="30"/>
      <c r="K84" s="30"/>
      <c r="L84" s="30"/>
      <c r="M84" s="30"/>
      <c r="N84" s="30"/>
      <c r="O84" s="30"/>
      <c r="P84" s="30"/>
      <c r="Q84" s="30"/>
    </row>
    <row r="85" spans="2:17" ht="56.25" hidden="1">
      <c r="B85" s="50" t="s">
        <v>183</v>
      </c>
      <c r="C85" s="51" t="s">
        <v>66</v>
      </c>
      <c r="D85" s="30"/>
      <c r="E85" s="30"/>
      <c r="F85" s="30"/>
      <c r="G85" s="104"/>
      <c r="H85" s="30"/>
      <c r="I85" s="30"/>
      <c r="J85" s="30"/>
      <c r="K85" s="30"/>
      <c r="L85" s="30"/>
      <c r="M85" s="30"/>
      <c r="N85" s="30"/>
      <c r="O85" s="30"/>
      <c r="P85" s="30"/>
      <c r="Q85" s="30"/>
    </row>
    <row r="86" spans="2:17" ht="56.25" hidden="1">
      <c r="B86" s="50" t="s">
        <v>184</v>
      </c>
      <c r="C86" s="51" t="s">
        <v>116</v>
      </c>
      <c r="D86" s="30"/>
      <c r="E86" s="30"/>
      <c r="F86" s="30"/>
      <c r="G86" s="104"/>
      <c r="H86" s="30"/>
      <c r="I86" s="30"/>
      <c r="J86" s="30"/>
      <c r="K86" s="30"/>
      <c r="L86" s="30"/>
      <c r="M86" s="30"/>
      <c r="N86" s="30"/>
      <c r="O86" s="30"/>
      <c r="P86" s="30"/>
      <c r="Q86" s="30"/>
    </row>
    <row r="87" spans="2:17" ht="37.5" hidden="1">
      <c r="B87" s="50" t="s">
        <v>185</v>
      </c>
      <c r="C87" s="51" t="s">
        <v>115</v>
      </c>
      <c r="D87" s="30"/>
      <c r="E87" s="30"/>
      <c r="F87" s="30"/>
      <c r="G87" s="104"/>
      <c r="H87" s="30"/>
      <c r="I87" s="30"/>
      <c r="J87" s="30"/>
      <c r="K87" s="30"/>
      <c r="L87" s="30"/>
      <c r="M87" s="30"/>
      <c r="N87" s="30"/>
      <c r="O87" s="30"/>
      <c r="P87" s="30"/>
      <c r="Q87" s="30"/>
    </row>
    <row r="88" spans="2:17" ht="56.25" hidden="1">
      <c r="B88" s="50" t="s">
        <v>186</v>
      </c>
      <c r="C88" s="51" t="s">
        <v>66</v>
      </c>
      <c r="D88" s="30"/>
      <c r="E88" s="30"/>
      <c r="F88" s="30"/>
      <c r="G88" s="104"/>
      <c r="H88" s="30"/>
      <c r="I88" s="30"/>
      <c r="J88" s="30"/>
      <c r="K88" s="30"/>
      <c r="L88" s="30"/>
      <c r="M88" s="30"/>
      <c r="N88" s="30"/>
      <c r="O88" s="30"/>
      <c r="P88" s="30"/>
      <c r="Q88" s="30"/>
    </row>
    <row r="89" spans="2:17" ht="56.25" hidden="1">
      <c r="B89" s="50" t="s">
        <v>187</v>
      </c>
      <c r="C89" s="7" t="s">
        <v>116</v>
      </c>
      <c r="D89" s="30"/>
      <c r="E89" s="30"/>
      <c r="F89" s="30"/>
      <c r="G89" s="104"/>
      <c r="H89" s="30"/>
      <c r="I89" s="30"/>
      <c r="J89" s="30"/>
      <c r="K89" s="30"/>
      <c r="L89" s="30"/>
      <c r="M89" s="30"/>
      <c r="N89" s="30"/>
      <c r="O89" s="30"/>
      <c r="P89" s="30"/>
      <c r="Q89" s="30"/>
    </row>
    <row r="90" spans="2:17" ht="37.5" hidden="1">
      <c r="B90" s="50" t="s">
        <v>188</v>
      </c>
      <c r="C90" s="7" t="s">
        <v>115</v>
      </c>
      <c r="D90" s="30"/>
      <c r="E90" s="30"/>
      <c r="F90" s="30"/>
      <c r="G90" s="104"/>
      <c r="H90" s="30"/>
      <c r="I90" s="30"/>
      <c r="J90" s="30"/>
      <c r="K90" s="30"/>
      <c r="L90" s="30"/>
      <c r="M90" s="30"/>
      <c r="N90" s="30"/>
      <c r="O90" s="30"/>
      <c r="P90" s="30"/>
      <c r="Q90" s="30"/>
    </row>
    <row r="91" spans="2:17" ht="56.25" hidden="1">
      <c r="B91" s="50" t="s">
        <v>189</v>
      </c>
      <c r="C91" s="7" t="s">
        <v>66</v>
      </c>
      <c r="D91" s="30"/>
      <c r="E91" s="30"/>
      <c r="F91" s="30"/>
      <c r="G91" s="104"/>
      <c r="H91" s="30"/>
      <c r="I91" s="30"/>
      <c r="J91" s="30"/>
      <c r="K91" s="30"/>
      <c r="L91" s="30"/>
      <c r="M91" s="30"/>
      <c r="N91" s="30"/>
      <c r="O91" s="30"/>
      <c r="P91" s="30"/>
      <c r="Q91" s="30"/>
    </row>
    <row r="92" spans="2:17" ht="56.25" hidden="1">
      <c r="B92" s="50" t="s">
        <v>190</v>
      </c>
      <c r="C92" s="7" t="s">
        <v>116</v>
      </c>
      <c r="D92" s="30"/>
      <c r="E92" s="30"/>
      <c r="F92" s="30"/>
      <c r="G92" s="104"/>
      <c r="H92" s="30"/>
      <c r="I92" s="30"/>
      <c r="J92" s="30"/>
      <c r="K92" s="30"/>
      <c r="L92" s="30"/>
      <c r="M92" s="30"/>
      <c r="N92" s="30"/>
      <c r="O92" s="30"/>
      <c r="P92" s="30"/>
      <c r="Q92" s="30"/>
    </row>
    <row r="93" spans="2:17" ht="37.5" hidden="1">
      <c r="B93" s="50" t="s">
        <v>191</v>
      </c>
      <c r="C93" s="7" t="s">
        <v>115</v>
      </c>
      <c r="D93" s="30"/>
      <c r="E93" s="30"/>
      <c r="F93" s="30"/>
      <c r="G93" s="104"/>
      <c r="H93" s="30"/>
      <c r="I93" s="30"/>
      <c r="J93" s="30"/>
      <c r="K93" s="30"/>
      <c r="L93" s="30"/>
      <c r="M93" s="30"/>
      <c r="N93" s="30"/>
      <c r="O93" s="30"/>
      <c r="P93" s="30"/>
      <c r="Q93" s="30"/>
    </row>
    <row r="94" spans="2:17" ht="56.25" hidden="1">
      <c r="B94" s="50" t="s">
        <v>192</v>
      </c>
      <c r="C94" s="7" t="s">
        <v>66</v>
      </c>
      <c r="D94" s="30"/>
      <c r="E94" s="30"/>
      <c r="F94" s="30"/>
      <c r="G94" s="104"/>
      <c r="H94" s="30"/>
      <c r="I94" s="30"/>
      <c r="J94" s="30"/>
      <c r="K94" s="30"/>
      <c r="L94" s="30"/>
      <c r="M94" s="30"/>
      <c r="N94" s="30"/>
      <c r="O94" s="30"/>
      <c r="P94" s="30"/>
      <c r="Q94" s="30"/>
    </row>
    <row r="95" spans="2:17" ht="37.5" hidden="1">
      <c r="B95" s="50" t="s">
        <v>193</v>
      </c>
      <c r="C95" s="7" t="s">
        <v>116</v>
      </c>
      <c r="D95" s="30"/>
      <c r="E95" s="30"/>
      <c r="F95" s="30"/>
      <c r="G95" s="104"/>
      <c r="H95" s="30"/>
      <c r="I95" s="30"/>
      <c r="J95" s="30"/>
      <c r="K95" s="30"/>
      <c r="L95" s="30"/>
      <c r="M95" s="30"/>
      <c r="N95" s="30"/>
      <c r="O95" s="30"/>
      <c r="P95" s="30"/>
      <c r="Q95" s="30"/>
    </row>
    <row r="96" spans="2:17" ht="37.5" hidden="1">
      <c r="B96" s="50" t="s">
        <v>194</v>
      </c>
      <c r="C96" s="7" t="s">
        <v>115</v>
      </c>
      <c r="D96" s="30"/>
      <c r="E96" s="30"/>
      <c r="F96" s="30"/>
      <c r="G96" s="104"/>
      <c r="H96" s="30"/>
      <c r="I96" s="30"/>
      <c r="J96" s="30"/>
      <c r="K96" s="30"/>
      <c r="L96" s="30"/>
      <c r="M96" s="30"/>
      <c r="N96" s="30"/>
      <c r="O96" s="30"/>
      <c r="P96" s="30"/>
      <c r="Q96" s="30"/>
    </row>
    <row r="97" spans="2:22" ht="56.25" hidden="1">
      <c r="B97" s="50" t="s">
        <v>195</v>
      </c>
      <c r="C97" s="7" t="s">
        <v>66</v>
      </c>
      <c r="D97" s="30"/>
      <c r="E97" s="30"/>
      <c r="F97" s="30"/>
      <c r="G97" s="104"/>
      <c r="H97" s="30"/>
      <c r="I97" s="30"/>
      <c r="J97" s="30"/>
      <c r="K97" s="30"/>
      <c r="L97" s="30"/>
      <c r="M97" s="30"/>
      <c r="N97" s="30"/>
      <c r="O97" s="30"/>
      <c r="P97" s="30"/>
      <c r="Q97" s="30"/>
    </row>
    <row r="98" spans="2:22" ht="56.25" hidden="1">
      <c r="B98" s="50" t="s">
        <v>196</v>
      </c>
      <c r="C98" s="7" t="s">
        <v>116</v>
      </c>
      <c r="D98" s="30"/>
      <c r="E98" s="30"/>
      <c r="F98" s="30"/>
      <c r="G98" s="104"/>
      <c r="H98" s="30"/>
      <c r="I98" s="30"/>
      <c r="J98" s="30"/>
      <c r="K98" s="30"/>
      <c r="L98" s="30"/>
      <c r="M98" s="30"/>
      <c r="N98" s="30"/>
      <c r="O98" s="30"/>
      <c r="P98" s="30"/>
      <c r="Q98" s="30"/>
    </row>
    <row r="99" spans="2:22" ht="37.5" hidden="1">
      <c r="B99" s="50" t="s">
        <v>197</v>
      </c>
      <c r="C99" s="7" t="s">
        <v>115</v>
      </c>
      <c r="D99" s="30"/>
      <c r="E99" s="30"/>
      <c r="F99" s="30"/>
      <c r="G99" s="104"/>
      <c r="H99" s="30"/>
      <c r="I99" s="30"/>
      <c r="J99" s="30"/>
      <c r="K99" s="30"/>
      <c r="L99" s="30"/>
      <c r="M99" s="30"/>
      <c r="N99" s="30"/>
      <c r="O99" s="30"/>
      <c r="P99" s="30"/>
      <c r="Q99" s="30"/>
    </row>
    <row r="100" spans="2:22" ht="56.25" hidden="1">
      <c r="B100" s="50" t="s">
        <v>198</v>
      </c>
      <c r="C100" s="7" t="s">
        <v>66</v>
      </c>
      <c r="D100" s="30"/>
      <c r="E100" s="30"/>
      <c r="F100" s="30"/>
      <c r="G100" s="104"/>
      <c r="H100" s="30"/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2:22" ht="56.25" hidden="1">
      <c r="B101" s="50" t="s">
        <v>199</v>
      </c>
      <c r="C101" s="7" t="s">
        <v>116</v>
      </c>
      <c r="D101" s="30"/>
      <c r="E101" s="30"/>
      <c r="F101" s="30"/>
      <c r="G101" s="104"/>
      <c r="H101" s="30"/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2:22" ht="37.5" hidden="1">
      <c r="B102" s="50" t="s">
        <v>200</v>
      </c>
      <c r="C102" s="7" t="s">
        <v>115</v>
      </c>
      <c r="D102" s="30"/>
      <c r="E102" s="30"/>
      <c r="F102" s="30"/>
      <c r="G102" s="104"/>
      <c r="H102" s="30"/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2:22" ht="56.25" hidden="1">
      <c r="B103" s="50" t="s">
        <v>201</v>
      </c>
      <c r="C103" s="7" t="s">
        <v>66</v>
      </c>
      <c r="D103" s="30"/>
      <c r="E103" s="30"/>
      <c r="F103" s="30"/>
      <c r="G103" s="104"/>
      <c r="H103" s="30"/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2:22" ht="37.5">
      <c r="B104" s="48" t="s">
        <v>202</v>
      </c>
      <c r="C104" s="51"/>
      <c r="D104" s="30"/>
      <c r="E104" s="30"/>
      <c r="F104" s="30"/>
      <c r="G104" s="104"/>
      <c r="H104" s="30"/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2:22" ht="56.25">
      <c r="B105" s="50" t="s">
        <v>211</v>
      </c>
      <c r="C105" s="51" t="s">
        <v>116</v>
      </c>
      <c r="D105" s="30">
        <v>36.1</v>
      </c>
      <c r="E105" s="30">
        <v>49.168999999999997</v>
      </c>
      <c r="F105" s="30">
        <v>55.9</v>
      </c>
      <c r="G105" s="103">
        <v>67.2</v>
      </c>
      <c r="H105" s="118">
        <f>ROUND(G105*H106*H107/10000, 1)</f>
        <v>72.599999999999994</v>
      </c>
      <c r="I105" s="118">
        <f>ROUND($H$105*I106*I107/10000, 1)</f>
        <v>76.099999999999994</v>
      </c>
      <c r="J105" s="118">
        <f>ROUND($H$105*J106*J107/10000, 1)</f>
        <v>76.5</v>
      </c>
      <c r="K105" s="118">
        <f>ROUND($H$105*K106*K107/10000, 1)</f>
        <v>76.8</v>
      </c>
      <c r="L105" s="118">
        <f t="shared" ref="L105:Q105" si="7">ROUND(I105*L106*L107/10000, 1)</f>
        <v>80.400000000000006</v>
      </c>
      <c r="M105" s="118">
        <f t="shared" si="7"/>
        <v>81.3</v>
      </c>
      <c r="N105" s="118">
        <f t="shared" si="7"/>
        <v>81.8</v>
      </c>
      <c r="O105" s="118">
        <f t="shared" si="7"/>
        <v>85</v>
      </c>
      <c r="P105" s="118">
        <f t="shared" si="7"/>
        <v>86.5</v>
      </c>
      <c r="Q105" s="118">
        <f t="shared" si="7"/>
        <v>87.5</v>
      </c>
    </row>
    <row r="106" spans="2:22" ht="37.5">
      <c r="B106" s="50" t="s">
        <v>212</v>
      </c>
      <c r="C106" s="51" t="s">
        <v>115</v>
      </c>
      <c r="D106" s="49">
        <v>97.3</v>
      </c>
      <c r="E106" s="49">
        <v>103</v>
      </c>
      <c r="F106" s="49">
        <v>104</v>
      </c>
      <c r="G106" s="122">
        <v>104.4</v>
      </c>
      <c r="H106" s="122">
        <v>106.8</v>
      </c>
      <c r="I106" s="122">
        <v>104.3</v>
      </c>
      <c r="J106" s="122">
        <v>104.3</v>
      </c>
      <c r="K106" s="122">
        <v>104.3</v>
      </c>
      <c r="L106" s="122">
        <v>104.3</v>
      </c>
      <c r="M106" s="122">
        <v>104.3</v>
      </c>
      <c r="N106" s="122">
        <v>104.3</v>
      </c>
      <c r="O106" s="122">
        <v>104.2</v>
      </c>
      <c r="P106" s="122">
        <v>104.2</v>
      </c>
      <c r="Q106" s="122">
        <v>104.2</v>
      </c>
    </row>
    <row r="107" spans="2:22" ht="56.25">
      <c r="B107" s="50" t="s">
        <v>213</v>
      </c>
      <c r="C107" s="51" t="s">
        <v>66</v>
      </c>
      <c r="D107" s="30">
        <v>95</v>
      </c>
      <c r="E107" s="31">
        <f>E105/D105/E106*10000</f>
        <v>132.23516122959415</v>
      </c>
      <c r="F107" s="31">
        <f>F105/E105/F106*10000</f>
        <v>109.31684598019078</v>
      </c>
      <c r="G107" s="104">
        <v>115.1</v>
      </c>
      <c r="H107" s="30">
        <v>101.2</v>
      </c>
      <c r="I107" s="30">
        <v>100.5</v>
      </c>
      <c r="J107" s="30">
        <v>101</v>
      </c>
      <c r="K107" s="30">
        <v>101.4</v>
      </c>
      <c r="L107" s="30">
        <v>101.3</v>
      </c>
      <c r="M107" s="30">
        <v>101.9</v>
      </c>
      <c r="N107" s="30">
        <v>102.1</v>
      </c>
      <c r="O107" s="30">
        <v>101.5</v>
      </c>
      <c r="P107" s="30">
        <v>102.1</v>
      </c>
      <c r="Q107" s="30">
        <v>102.6</v>
      </c>
      <c r="R107" s="40">
        <f>SUM(G107:H107)</f>
        <v>216.3</v>
      </c>
    </row>
    <row r="108" spans="2:22" ht="37.5">
      <c r="B108" s="48" t="s">
        <v>206</v>
      </c>
      <c r="C108" s="51"/>
      <c r="D108" s="30"/>
      <c r="E108" s="30"/>
      <c r="F108" s="30"/>
      <c r="G108" s="104"/>
      <c r="H108" s="30"/>
      <c r="I108" s="30"/>
      <c r="J108" s="30"/>
      <c r="K108" s="30"/>
      <c r="L108" s="30"/>
      <c r="M108" s="30"/>
      <c r="N108" s="30"/>
      <c r="O108" s="30"/>
      <c r="P108" s="30"/>
      <c r="Q108" s="30"/>
    </row>
    <row r="109" spans="2:22" ht="75">
      <c r="B109" s="50" t="s">
        <v>203</v>
      </c>
      <c r="C109" s="51" t="s">
        <v>116</v>
      </c>
      <c r="D109" s="30">
        <v>6.9</v>
      </c>
      <c r="E109" s="30">
        <v>10.173</v>
      </c>
      <c r="F109" s="30">
        <v>13.5</v>
      </c>
      <c r="G109" s="103">
        <v>14</v>
      </c>
      <c r="H109" s="118">
        <f>ROUND(G109*H110*H111/10000,1)</f>
        <v>15</v>
      </c>
      <c r="I109" s="118">
        <f>ROUND(H109*I110*I111/10000,1)</f>
        <v>15.9</v>
      </c>
      <c r="J109" s="118">
        <f>ROUND(H109*J110*J111/10000,1)</f>
        <v>16</v>
      </c>
      <c r="K109" s="118">
        <f t="shared" ref="K109:Q109" si="8">ROUND(H109*K110*K111/10000,1)</f>
        <v>16</v>
      </c>
      <c r="L109" s="118">
        <f t="shared" si="8"/>
        <v>16.7</v>
      </c>
      <c r="M109" s="118">
        <f t="shared" si="8"/>
        <v>16.899999999999999</v>
      </c>
      <c r="N109" s="118">
        <f t="shared" si="8"/>
        <v>17</v>
      </c>
      <c r="O109" s="118">
        <f t="shared" si="8"/>
        <v>17.600000000000001</v>
      </c>
      <c r="P109" s="118">
        <f t="shared" si="8"/>
        <v>18.100000000000001</v>
      </c>
      <c r="Q109" s="118">
        <f t="shared" si="8"/>
        <v>18.3</v>
      </c>
    </row>
    <row r="110" spans="2:22" ht="56.25">
      <c r="B110" s="50" t="s">
        <v>204</v>
      </c>
      <c r="C110" s="51" t="s">
        <v>115</v>
      </c>
      <c r="D110" s="30">
        <v>100</v>
      </c>
      <c r="E110" s="30">
        <v>104</v>
      </c>
      <c r="F110" s="30">
        <v>104</v>
      </c>
      <c r="G110" s="123">
        <v>103.7</v>
      </c>
      <c r="H110" s="123">
        <v>104.5</v>
      </c>
      <c r="I110" s="123">
        <v>104.6</v>
      </c>
      <c r="J110" s="123">
        <v>104.6</v>
      </c>
      <c r="K110" s="123">
        <v>104</v>
      </c>
      <c r="L110" s="123">
        <v>104.2</v>
      </c>
      <c r="M110" s="123">
        <v>104.2</v>
      </c>
      <c r="N110" s="123">
        <v>104</v>
      </c>
      <c r="O110" s="123">
        <v>104.1</v>
      </c>
      <c r="P110" s="123">
        <v>104.1</v>
      </c>
      <c r="Q110" s="123">
        <v>104</v>
      </c>
      <c r="T110" s="36" t="s">
        <v>267</v>
      </c>
    </row>
    <row r="111" spans="2:22" ht="56.25">
      <c r="B111" s="50" t="s">
        <v>205</v>
      </c>
      <c r="C111" s="51" t="s">
        <v>66</v>
      </c>
      <c r="D111" s="30">
        <v>116.9</v>
      </c>
      <c r="E111" s="31">
        <f>E109/D109/E110*10000</f>
        <v>141.76421404682273</v>
      </c>
      <c r="F111" s="31">
        <f>F109/E109/F110*10000</f>
        <v>127.60020869723023</v>
      </c>
      <c r="G111" s="104">
        <v>100</v>
      </c>
      <c r="H111" s="30">
        <v>102.5</v>
      </c>
      <c r="I111" s="30">
        <v>101.1</v>
      </c>
      <c r="J111" s="30">
        <v>102.2</v>
      </c>
      <c r="K111" s="30">
        <v>102.6</v>
      </c>
      <c r="L111" s="30">
        <v>101</v>
      </c>
      <c r="M111" s="30">
        <v>101.6</v>
      </c>
      <c r="N111" s="30">
        <v>101.9</v>
      </c>
      <c r="O111" s="30">
        <v>101.5</v>
      </c>
      <c r="P111" s="30">
        <v>103</v>
      </c>
      <c r="Q111" s="30">
        <v>103.5</v>
      </c>
      <c r="T111" s="36">
        <v>38</v>
      </c>
      <c r="U111" s="36">
        <v>39</v>
      </c>
      <c r="V111" s="36">
        <v>40</v>
      </c>
    </row>
    <row r="112" spans="2:22" ht="18.75">
      <c r="B112" s="45" t="s">
        <v>225</v>
      </c>
      <c r="C112" s="56"/>
      <c r="D112" s="51"/>
      <c r="E112" s="51"/>
      <c r="F112" s="51"/>
      <c r="G112" s="107"/>
      <c r="H112" s="51"/>
      <c r="I112" s="51"/>
      <c r="J112" s="51"/>
      <c r="K112" s="51"/>
      <c r="L112" s="51"/>
      <c r="M112" s="51"/>
      <c r="N112" s="51"/>
      <c r="O112" s="51"/>
      <c r="P112" s="51"/>
      <c r="Q112" s="57"/>
      <c r="T112" s="36">
        <v>2023</v>
      </c>
      <c r="U112" s="36">
        <v>2024</v>
      </c>
      <c r="V112" s="36">
        <v>2025</v>
      </c>
    </row>
    <row r="113" spans="2:23" ht="20.25">
      <c r="B113" s="58" t="s">
        <v>0</v>
      </c>
      <c r="C113" s="59" t="s">
        <v>1</v>
      </c>
      <c r="D113" s="79">
        <f t="shared" ref="D113:Q113" si="9">D117+D120</f>
        <v>1041.079</v>
      </c>
      <c r="E113" s="79">
        <f t="shared" si="9"/>
        <v>1208.1990000000001</v>
      </c>
      <c r="F113" s="136">
        <f t="shared" si="9"/>
        <v>1240.289</v>
      </c>
      <c r="G113" s="108">
        <v>1110.5999999999999</v>
      </c>
      <c r="H113" s="124">
        <f t="shared" ref="H113:N113" si="10">H117+H120</f>
        <v>1264.7</v>
      </c>
      <c r="I113" s="124">
        <f t="shared" si="10"/>
        <v>1253</v>
      </c>
      <c r="J113" s="124">
        <f t="shared" si="10"/>
        <v>1267.5999999999999</v>
      </c>
      <c r="K113" s="124">
        <f t="shared" si="10"/>
        <v>1281.5</v>
      </c>
      <c r="L113" s="124">
        <f t="shared" si="10"/>
        <v>1321</v>
      </c>
      <c r="M113" s="124">
        <f t="shared" si="10"/>
        <v>1351.4</v>
      </c>
      <c r="N113" s="124">
        <f t="shared" si="10"/>
        <v>1369.9</v>
      </c>
      <c r="O113" s="124">
        <f t="shared" si="9"/>
        <v>1385</v>
      </c>
      <c r="P113" s="124">
        <f t="shared" si="9"/>
        <v>1435.5</v>
      </c>
      <c r="Q113" s="124">
        <f t="shared" si="9"/>
        <v>1457.1</v>
      </c>
      <c r="R113" s="129" t="s">
        <v>273</v>
      </c>
      <c r="T113" s="96">
        <v>1253</v>
      </c>
      <c r="U113" s="96">
        <v>1321</v>
      </c>
      <c r="V113" s="96">
        <v>1385</v>
      </c>
      <c r="W113" s="135">
        <f>G117+G120</f>
        <v>1110.5999999999999</v>
      </c>
    </row>
    <row r="114" spans="2:23" ht="56.25">
      <c r="B114" s="47" t="s">
        <v>2</v>
      </c>
      <c r="C114" s="51" t="s">
        <v>66</v>
      </c>
      <c r="D114" s="80">
        <v>92.1</v>
      </c>
      <c r="E114" s="78">
        <v>104.1</v>
      </c>
      <c r="F114" s="101">
        <v>94.7</v>
      </c>
      <c r="G114" s="132">
        <v>85.9</v>
      </c>
      <c r="H114" s="133">
        <f>ROUND(H113/G113/H115*10000, 1)</f>
        <v>112.3</v>
      </c>
      <c r="I114" s="118">
        <f>ROUND(I113/H113/I115*10000, 1)</f>
        <v>94.6</v>
      </c>
      <c r="J114" s="118">
        <f>ROUND(J113/H113/J115*10000, 1)</f>
        <v>95.9</v>
      </c>
      <c r="K114" s="118">
        <f t="shared" ref="K114:Q114" si="11">ROUND(K113/H113/K115*10000, 1)</f>
        <v>96.9</v>
      </c>
      <c r="L114" s="118">
        <f t="shared" si="11"/>
        <v>101.1</v>
      </c>
      <c r="M114" s="118">
        <f t="shared" si="11"/>
        <v>102.4</v>
      </c>
      <c r="N114" s="118">
        <f t="shared" si="11"/>
        <v>102.6</v>
      </c>
      <c r="O114" s="118">
        <f t="shared" si="11"/>
        <v>100.6</v>
      </c>
      <c r="P114" s="118">
        <f t="shared" si="11"/>
        <v>102</v>
      </c>
      <c r="Q114" s="118">
        <f t="shared" si="11"/>
        <v>102.2</v>
      </c>
      <c r="R114" s="129">
        <f>G113/F113/G115*10000</f>
        <v>85.9344018064739</v>
      </c>
      <c r="S114" s="129">
        <f>H113/G113/H115*10000</f>
        <v>112.30313873375837</v>
      </c>
      <c r="T114" s="97">
        <v>1267.5999999999999</v>
      </c>
      <c r="U114" s="97">
        <v>1351.4</v>
      </c>
      <c r="V114" s="97">
        <v>1435.5</v>
      </c>
    </row>
    <row r="115" spans="2:23" ht="37.5">
      <c r="B115" s="47" t="s">
        <v>3</v>
      </c>
      <c r="C115" s="51" t="s">
        <v>115</v>
      </c>
      <c r="D115" s="78">
        <v>105.5</v>
      </c>
      <c r="E115" s="78">
        <f>AVERAGE(E119,E122)</f>
        <v>103.75</v>
      </c>
      <c r="F115" s="139">
        <v>108.4</v>
      </c>
      <c r="G115" s="101">
        <v>104.2</v>
      </c>
      <c r="H115" s="101">
        <v>101.4</v>
      </c>
      <c r="I115" s="101">
        <f t="shared" ref="I115:O115" si="12">AVERAGE(I119,I122)</f>
        <v>104.75</v>
      </c>
      <c r="J115" s="101">
        <f t="shared" si="12"/>
        <v>104.55000000000001</v>
      </c>
      <c r="K115" s="31">
        <f t="shared" si="12"/>
        <v>104.55000000000001</v>
      </c>
      <c r="L115" s="101">
        <f t="shared" si="12"/>
        <v>104.3</v>
      </c>
      <c r="M115" s="101">
        <f t="shared" si="12"/>
        <v>104.15</v>
      </c>
      <c r="N115" s="31">
        <f t="shared" si="12"/>
        <v>104.15</v>
      </c>
      <c r="O115" s="101">
        <f t="shared" si="12"/>
        <v>104.2</v>
      </c>
      <c r="P115" s="101">
        <v>104.1</v>
      </c>
      <c r="Q115" s="31">
        <v>104.1</v>
      </c>
      <c r="R115" s="130">
        <f>F113/1208.2/F114*10000</f>
        <v>108.40119793868962</v>
      </c>
      <c r="S115" s="40"/>
      <c r="T115" s="96">
        <v>1281.5</v>
      </c>
      <c r="U115" s="96">
        <v>1369.9</v>
      </c>
      <c r="V115" s="96">
        <v>1457.1</v>
      </c>
    </row>
    <row r="116" spans="2:23" ht="37.5">
      <c r="B116" s="47" t="s">
        <v>4</v>
      </c>
      <c r="C116" s="51"/>
      <c r="D116" s="30"/>
      <c r="E116" s="57"/>
      <c r="F116" s="57"/>
      <c r="G116" s="104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S116" s="40"/>
      <c r="T116" s="40"/>
      <c r="U116" s="40"/>
      <c r="V116" s="40"/>
    </row>
    <row r="117" spans="2:23" ht="18.75">
      <c r="B117" s="47" t="s">
        <v>5</v>
      </c>
      <c r="C117" s="51" t="s">
        <v>6</v>
      </c>
      <c r="D117" s="81">
        <v>347.524</v>
      </c>
      <c r="E117" s="81">
        <v>443.75099999999998</v>
      </c>
      <c r="F117" s="98">
        <v>516.26099999999997</v>
      </c>
      <c r="G117" s="103">
        <v>410.6</v>
      </c>
      <c r="H117" s="78">
        <v>440.7</v>
      </c>
      <c r="I117" s="78">
        <v>476.14</v>
      </c>
      <c r="J117" s="78">
        <v>481.68799999999999</v>
      </c>
      <c r="K117" s="78">
        <v>486.97</v>
      </c>
      <c r="L117" s="78">
        <v>515.19000000000005</v>
      </c>
      <c r="M117" s="78">
        <v>527.04600000000005</v>
      </c>
      <c r="N117" s="78">
        <v>534.26099999999997</v>
      </c>
      <c r="O117" s="78">
        <v>554</v>
      </c>
      <c r="P117" s="78">
        <v>574.20000000000005</v>
      </c>
      <c r="Q117" s="78">
        <v>582.84</v>
      </c>
      <c r="S117" s="40"/>
    </row>
    <row r="118" spans="2:23" ht="56.25">
      <c r="B118" s="47" t="s">
        <v>7</v>
      </c>
      <c r="C118" s="51" t="s">
        <v>66</v>
      </c>
      <c r="D118" s="81">
        <v>97.4</v>
      </c>
      <c r="E118" s="78">
        <v>110.2</v>
      </c>
      <c r="F118" s="99">
        <v>97.1</v>
      </c>
      <c r="G118" s="131">
        <f>ROUND(G117/F117/G119*10000,1)</f>
        <v>78.099999999999994</v>
      </c>
      <c r="H118" s="131">
        <f>ROUND(H117/G117/H119*10000,1)</f>
        <v>105.7</v>
      </c>
      <c r="I118" s="125">
        <f>I117/H117/I119*10000</f>
        <v>102.99499690997703</v>
      </c>
      <c r="J118" s="125">
        <f>J117/H117/J119*10000</f>
        <v>104.39413375742203</v>
      </c>
      <c r="K118" s="125">
        <f>K117/H117/K119*10000</f>
        <v>105.53887851856764</v>
      </c>
      <c r="L118" s="125">
        <f>L117/I117/L119*10000</f>
        <v>103.74052669717221</v>
      </c>
      <c r="M118" s="125">
        <f t="shared" ref="M118:O118" si="13">M117/J117/M119*10000</f>
        <v>105.00620801492997</v>
      </c>
      <c r="N118" s="125">
        <f t="shared" si="13"/>
        <v>105.28913229233675</v>
      </c>
      <c r="O118" s="125">
        <f t="shared" si="13"/>
        <v>103.19879377375224</v>
      </c>
      <c r="P118" s="125">
        <f t="shared" ref="P118" si="14">P117/M117/P119*10000</f>
        <v>104.55551549354321</v>
      </c>
      <c r="Q118" s="125">
        <f t="shared" ref="Q118" si="15">Q117/N117/Q119*10000</f>
        <v>104.69553436039214</v>
      </c>
      <c r="R118" s="129">
        <f>G117/F117/G119*10000</f>
        <v>78.127126031563009</v>
      </c>
      <c r="S118" s="129">
        <f>H117/G117/H119*10000</f>
        <v>105.74456700395193</v>
      </c>
    </row>
    <row r="119" spans="2:23" ht="37.5">
      <c r="B119" s="47" t="s">
        <v>8</v>
      </c>
      <c r="C119" s="51" t="s">
        <v>115</v>
      </c>
      <c r="D119" s="81">
        <v>106.2</v>
      </c>
      <c r="E119" s="81">
        <v>106.2</v>
      </c>
      <c r="F119" s="138">
        <v>119.8</v>
      </c>
      <c r="G119" s="98">
        <v>101.8</v>
      </c>
      <c r="H119" s="98">
        <v>101.5</v>
      </c>
      <c r="I119" s="123">
        <v>104.9</v>
      </c>
      <c r="J119" s="98">
        <v>104.7</v>
      </c>
      <c r="K119" s="123">
        <v>104.7</v>
      </c>
      <c r="L119" s="140">
        <v>104.3</v>
      </c>
      <c r="M119" s="98">
        <v>104.2</v>
      </c>
      <c r="N119" s="123">
        <v>104.2</v>
      </c>
      <c r="O119" s="123">
        <v>104.2</v>
      </c>
      <c r="P119" s="98">
        <v>104.2</v>
      </c>
      <c r="Q119" s="123">
        <v>104.2</v>
      </c>
      <c r="R119" s="130">
        <f>F117/443.8/F118*10000</f>
        <v>119.80164750732021</v>
      </c>
      <c r="S119" s="40"/>
    </row>
    <row r="120" spans="2:23" ht="18.75">
      <c r="B120" s="47" t="s">
        <v>9</v>
      </c>
      <c r="C120" s="51" t="s">
        <v>6</v>
      </c>
      <c r="D120" s="81">
        <v>693.55499999999995</v>
      </c>
      <c r="E120" s="81">
        <v>764.44799999999998</v>
      </c>
      <c r="F120" s="98">
        <v>724.02800000000002</v>
      </c>
      <c r="G120" s="103">
        <v>700</v>
      </c>
      <c r="H120" s="78">
        <f>ROUND(G120*H121*H122/10000,1)</f>
        <v>824</v>
      </c>
      <c r="I120" s="78">
        <v>776.86</v>
      </c>
      <c r="J120" s="78">
        <v>785.91200000000003</v>
      </c>
      <c r="K120" s="78">
        <v>794.53</v>
      </c>
      <c r="L120" s="78">
        <v>805.81</v>
      </c>
      <c r="M120" s="78">
        <v>824.35400000000004</v>
      </c>
      <c r="N120" s="78">
        <v>835.63900000000001</v>
      </c>
      <c r="O120" s="78">
        <v>831</v>
      </c>
      <c r="P120" s="78">
        <v>861.3</v>
      </c>
      <c r="Q120" s="78">
        <v>874.26</v>
      </c>
      <c r="S120" s="40"/>
    </row>
    <row r="121" spans="2:23" ht="56.25">
      <c r="B121" s="47" t="s">
        <v>10</v>
      </c>
      <c r="C121" s="51" t="s">
        <v>66</v>
      </c>
      <c r="D121" s="82">
        <v>89.6</v>
      </c>
      <c r="E121" s="82">
        <v>101.1</v>
      </c>
      <c r="F121" s="99">
        <v>93.1</v>
      </c>
      <c r="G121" s="134">
        <f>ROUND(G120/F120/G122*10000,1)</f>
        <v>89.6</v>
      </c>
      <c r="H121" s="128">
        <v>116.2</v>
      </c>
      <c r="I121" s="125">
        <f>I120/H120/I122*10000</f>
        <v>90.133007852382633</v>
      </c>
      <c r="J121" s="125">
        <f>J120/H120/J122*10000</f>
        <v>91.357921362943117</v>
      </c>
      <c r="K121" s="125">
        <f>K120/H120/K122*10000</f>
        <v>92.359716177509952</v>
      </c>
      <c r="L121" s="125">
        <f>L120/I120/L122*10000</f>
        <v>99.450182334179118</v>
      </c>
      <c r="M121" s="125">
        <f t="shared" ref="M121:Q121" si="16">M120/J120/M122*10000</f>
        <v>100.76021837742276</v>
      </c>
      <c r="N121" s="125">
        <f t="shared" si="16"/>
        <v>101.03170244026724</v>
      </c>
      <c r="O121" s="125">
        <f t="shared" si="16"/>
        <v>98.969335012532895</v>
      </c>
      <c r="P121" s="125">
        <f t="shared" si="16"/>
        <v>100.36677466401969</v>
      </c>
      <c r="Q121" s="125">
        <f t="shared" si="16"/>
        <v>100.50118404444692</v>
      </c>
      <c r="R121" s="137">
        <f>G120/F120/G122*10000</f>
        <v>89.602728281216443</v>
      </c>
      <c r="S121" s="137">
        <f>H120/G120/H122*10000</f>
        <v>116.20363841489211</v>
      </c>
    </row>
    <row r="122" spans="2:23" ht="37.5">
      <c r="B122" s="47" t="s">
        <v>11</v>
      </c>
      <c r="C122" s="51" t="s">
        <v>115</v>
      </c>
      <c r="D122" s="81">
        <v>105.4</v>
      </c>
      <c r="E122" s="81">
        <v>101.3</v>
      </c>
      <c r="F122" s="138">
        <v>101.7</v>
      </c>
      <c r="G122" s="98">
        <v>107.9</v>
      </c>
      <c r="H122" s="98">
        <v>101.3</v>
      </c>
      <c r="I122" s="123">
        <v>104.6</v>
      </c>
      <c r="J122" s="98">
        <v>104.4</v>
      </c>
      <c r="K122" s="123">
        <v>104.4</v>
      </c>
      <c r="L122" s="123">
        <v>104.3</v>
      </c>
      <c r="M122" s="98">
        <v>104.1</v>
      </c>
      <c r="N122" s="123">
        <v>104.1</v>
      </c>
      <c r="O122" s="123">
        <v>104.2</v>
      </c>
      <c r="P122" s="98">
        <v>104.1</v>
      </c>
      <c r="Q122" s="123">
        <v>104.1</v>
      </c>
      <c r="R122" s="130">
        <f>F120/764.4/F121*10000</f>
        <v>101.73842320535584</v>
      </c>
    </row>
    <row r="123" spans="2:23" ht="18.75">
      <c r="B123" s="45" t="s">
        <v>226</v>
      </c>
      <c r="C123" s="56"/>
      <c r="D123" s="51"/>
      <c r="E123" s="51"/>
      <c r="F123" s="51"/>
      <c r="G123" s="107"/>
      <c r="H123" s="51"/>
      <c r="I123" s="51"/>
      <c r="J123" s="51"/>
      <c r="K123" s="51"/>
      <c r="L123" s="51"/>
      <c r="M123" s="51"/>
      <c r="N123" s="51"/>
      <c r="O123" s="51"/>
      <c r="P123" s="51"/>
      <c r="Q123" s="57"/>
    </row>
    <row r="124" spans="2:23" ht="56.25">
      <c r="B124" s="47" t="s">
        <v>12</v>
      </c>
      <c r="C124" s="51" t="s">
        <v>13</v>
      </c>
      <c r="D124" s="81">
        <v>232.9</v>
      </c>
      <c r="E124" s="81">
        <f>235.6+56+146.918</f>
        <v>438.51800000000003</v>
      </c>
      <c r="F124" s="81">
        <f>235.8+56+146.918</f>
        <v>438.71800000000002</v>
      </c>
      <c r="G124" s="81">
        <f>235.8+56+146.918</f>
        <v>438.71800000000002</v>
      </c>
      <c r="H124" s="81">
        <f>235.8+56+146.918</f>
        <v>438.71800000000002</v>
      </c>
      <c r="I124" s="81">
        <f t="shared" ref="I124:Q124" si="17">235.8+56+146.918</f>
        <v>438.71800000000002</v>
      </c>
      <c r="J124" s="81">
        <f t="shared" si="17"/>
        <v>438.71800000000002</v>
      </c>
      <c r="K124" s="81">
        <f t="shared" si="17"/>
        <v>438.71800000000002</v>
      </c>
      <c r="L124" s="81">
        <f t="shared" si="17"/>
        <v>438.71800000000002</v>
      </c>
      <c r="M124" s="81">
        <f t="shared" si="17"/>
        <v>438.71800000000002</v>
      </c>
      <c r="N124" s="81">
        <f t="shared" si="17"/>
        <v>438.71800000000002</v>
      </c>
      <c r="O124" s="81">
        <f t="shared" si="17"/>
        <v>438.71800000000002</v>
      </c>
      <c r="P124" s="81">
        <f t="shared" si="17"/>
        <v>438.71800000000002</v>
      </c>
      <c r="Q124" s="81">
        <f t="shared" si="17"/>
        <v>438.71800000000002</v>
      </c>
    </row>
    <row r="125" spans="2:23" ht="56.25">
      <c r="B125" s="47" t="s">
        <v>15</v>
      </c>
      <c r="C125" s="59" t="s">
        <v>14</v>
      </c>
      <c r="D125" s="81">
        <v>147.19999999999999</v>
      </c>
      <c r="E125" s="81">
        <f>435.8*10000/4379.75</f>
        <v>995.03396312574921</v>
      </c>
      <c r="F125" s="81">
        <f>438.7*10000/4379.75</f>
        <v>1001.6553456247502</v>
      </c>
      <c r="G125" s="81">
        <f>438.7*10000/4379.75</f>
        <v>1001.6553456247502</v>
      </c>
      <c r="H125" s="125">
        <f>H124*10000/4379.75</f>
        <v>1001.6964438609509</v>
      </c>
      <c r="I125" s="125">
        <f t="shared" ref="I125:Q125" si="18">I124*10000/4379.75</f>
        <v>1001.6964438609509</v>
      </c>
      <c r="J125" s="125">
        <f t="shared" si="18"/>
        <v>1001.6964438609509</v>
      </c>
      <c r="K125" s="125">
        <f t="shared" si="18"/>
        <v>1001.6964438609509</v>
      </c>
      <c r="L125" s="125">
        <f t="shared" si="18"/>
        <v>1001.6964438609509</v>
      </c>
      <c r="M125" s="125">
        <f t="shared" si="18"/>
        <v>1001.6964438609509</v>
      </c>
      <c r="N125" s="125">
        <f t="shared" si="18"/>
        <v>1001.6964438609509</v>
      </c>
      <c r="O125" s="125">
        <f t="shared" si="18"/>
        <v>1001.6964438609509</v>
      </c>
      <c r="P125" s="125">
        <f t="shared" si="18"/>
        <v>1001.6964438609509</v>
      </c>
      <c r="Q125" s="125">
        <f t="shared" si="18"/>
        <v>1001.6964438609509</v>
      </c>
    </row>
    <row r="126" spans="2:23" ht="37.5">
      <c r="B126" s="47" t="s">
        <v>16</v>
      </c>
      <c r="C126" s="51" t="s">
        <v>17</v>
      </c>
      <c r="D126" s="81">
        <v>63.2</v>
      </c>
      <c r="E126" s="81">
        <f>(164.8+56+146.918)/E124*100</f>
        <v>83.854710639015963</v>
      </c>
      <c r="F126" s="81">
        <f>(176.4+56+146.918)/F124*100</f>
        <v>86.460550968959552</v>
      </c>
      <c r="G126" s="104">
        <v>86.5</v>
      </c>
      <c r="H126" s="81">
        <f>(176.4+56+146.918)/H124*100</f>
        <v>86.460550968959552</v>
      </c>
      <c r="I126" s="81">
        <f t="shared" ref="I126:Q126" si="19">(176.4+56+146.918)/I124*100</f>
        <v>86.460550968959552</v>
      </c>
      <c r="J126" s="81">
        <f t="shared" si="19"/>
        <v>86.460550968959552</v>
      </c>
      <c r="K126" s="81">
        <f t="shared" si="19"/>
        <v>86.460550968959552</v>
      </c>
      <c r="L126" s="81">
        <f t="shared" si="19"/>
        <v>86.460550968959552</v>
      </c>
      <c r="M126" s="81">
        <f t="shared" si="19"/>
        <v>86.460550968959552</v>
      </c>
      <c r="N126" s="81">
        <f t="shared" si="19"/>
        <v>86.460550968959552</v>
      </c>
      <c r="O126" s="81">
        <f t="shared" si="19"/>
        <v>86.460550968959552</v>
      </c>
      <c r="P126" s="81">
        <f t="shared" si="19"/>
        <v>86.460550968959552</v>
      </c>
      <c r="Q126" s="81">
        <f t="shared" si="19"/>
        <v>86.460550968959552</v>
      </c>
    </row>
    <row r="127" spans="2:23" ht="37.5">
      <c r="B127" s="45" t="s">
        <v>227</v>
      </c>
      <c r="C127" s="56"/>
      <c r="D127" s="51"/>
      <c r="E127" s="51"/>
      <c r="F127" s="51"/>
      <c r="G127" s="107"/>
      <c r="H127" s="51"/>
      <c r="I127" s="51"/>
      <c r="J127" s="51"/>
      <c r="K127" s="51"/>
      <c r="L127" s="51"/>
      <c r="M127" s="51"/>
      <c r="N127" s="51"/>
      <c r="O127" s="51"/>
      <c r="P127" s="51"/>
      <c r="Q127" s="57"/>
    </row>
    <row r="128" spans="2:23" ht="18.75">
      <c r="B128" s="47" t="s">
        <v>19</v>
      </c>
      <c r="C128" s="51" t="s">
        <v>20</v>
      </c>
      <c r="D128" s="81">
        <v>17.403300000000002</v>
      </c>
      <c r="E128" s="81">
        <v>21.776599999999998</v>
      </c>
      <c r="F128" s="81">
        <v>22.559200000000001</v>
      </c>
      <c r="G128" s="104">
        <v>24.2</v>
      </c>
      <c r="H128" s="81">
        <v>22.8</v>
      </c>
      <c r="I128" s="81">
        <v>22.3</v>
      </c>
      <c r="J128" s="81">
        <v>22.5</v>
      </c>
      <c r="K128" s="81">
        <v>22.6</v>
      </c>
      <c r="L128" s="81">
        <v>22.1</v>
      </c>
      <c r="M128" s="81">
        <v>22.5</v>
      </c>
      <c r="N128" s="81">
        <v>22.3</v>
      </c>
      <c r="O128" s="81">
        <v>22.3</v>
      </c>
      <c r="P128" s="81">
        <v>23.5</v>
      </c>
      <c r="Q128" s="81">
        <v>23.7</v>
      </c>
    </row>
    <row r="129" spans="2:38" ht="18.75" hidden="1">
      <c r="B129" s="47" t="s">
        <v>21</v>
      </c>
      <c r="C129" s="51" t="s">
        <v>20</v>
      </c>
      <c r="D129" s="81"/>
      <c r="E129" s="81"/>
      <c r="F129" s="81"/>
      <c r="G129" s="104"/>
      <c r="H129" s="81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2:38" ht="18.75">
      <c r="B130" s="47" t="s">
        <v>22</v>
      </c>
      <c r="C130" s="51" t="s">
        <v>20</v>
      </c>
      <c r="D130" s="81">
        <v>3.0825990000000001</v>
      </c>
      <c r="E130" s="81">
        <v>2.7027079999999999</v>
      </c>
      <c r="F130" s="81">
        <v>3.0179999999999998</v>
      </c>
      <c r="G130" s="104">
        <v>3.1</v>
      </c>
      <c r="H130" s="81">
        <v>3.5</v>
      </c>
      <c r="I130" s="81">
        <v>3.5</v>
      </c>
      <c r="J130" s="81">
        <v>4.0999999999999996</v>
      </c>
      <c r="K130" s="81">
        <v>4.0999999999999996</v>
      </c>
      <c r="L130" s="81">
        <v>4.0999999999999996</v>
      </c>
      <c r="M130" s="81">
        <v>4.2</v>
      </c>
      <c r="N130" s="81">
        <v>4.2</v>
      </c>
      <c r="O130" s="81">
        <v>4.4000000000000004</v>
      </c>
      <c r="P130" s="81">
        <v>4.5</v>
      </c>
      <c r="Q130" s="81">
        <v>4.5999999999999996</v>
      </c>
    </row>
    <row r="131" spans="2:38" ht="18.75">
      <c r="B131" s="47" t="s">
        <v>23</v>
      </c>
      <c r="C131" s="51" t="s">
        <v>20</v>
      </c>
      <c r="D131" s="81">
        <v>1.1572</v>
      </c>
      <c r="E131" s="81">
        <v>1.1011599999999999</v>
      </c>
      <c r="F131" s="81">
        <v>1.0875999999999999</v>
      </c>
      <c r="G131" s="104">
        <v>1.3</v>
      </c>
      <c r="H131" s="81">
        <v>1.2</v>
      </c>
      <c r="I131" s="81">
        <v>1.2</v>
      </c>
      <c r="J131" s="81">
        <v>1.3</v>
      </c>
      <c r="K131" s="81">
        <v>1.3</v>
      </c>
      <c r="L131" s="81">
        <v>1.3</v>
      </c>
      <c r="M131" s="81">
        <v>1.4</v>
      </c>
      <c r="N131" s="81">
        <v>1.4</v>
      </c>
      <c r="O131" s="81">
        <v>1.3</v>
      </c>
      <c r="P131" s="81">
        <v>1.5</v>
      </c>
      <c r="Q131" s="81">
        <v>1.5</v>
      </c>
    </row>
    <row r="132" spans="2:38" ht="18.75">
      <c r="B132" s="127" t="s">
        <v>272</v>
      </c>
      <c r="C132" s="51" t="s">
        <v>20</v>
      </c>
      <c r="D132" s="81">
        <v>1.7239800000000001</v>
      </c>
      <c r="E132" s="81">
        <v>1.51</v>
      </c>
      <c r="F132" s="81">
        <v>1.429</v>
      </c>
      <c r="G132" s="104">
        <v>1.5</v>
      </c>
      <c r="H132" s="81">
        <v>1.6</v>
      </c>
      <c r="I132" s="81">
        <v>1.6</v>
      </c>
      <c r="J132" s="81">
        <v>1.7</v>
      </c>
      <c r="K132" s="81">
        <v>1.7</v>
      </c>
      <c r="L132" s="81">
        <v>1.6</v>
      </c>
      <c r="M132" s="81">
        <v>1.7</v>
      </c>
      <c r="N132" s="81">
        <v>1.7</v>
      </c>
      <c r="O132" s="81">
        <v>1.7</v>
      </c>
      <c r="P132" s="81">
        <v>1.8</v>
      </c>
      <c r="Q132" s="81">
        <v>1.9</v>
      </c>
    </row>
    <row r="133" spans="2:38" ht="18.75">
      <c r="B133" s="47" t="s">
        <v>24</v>
      </c>
      <c r="C133" s="51" t="s">
        <v>20</v>
      </c>
      <c r="D133" s="81">
        <v>14.095319999999999</v>
      </c>
      <c r="E133" s="81">
        <v>14.24</v>
      </c>
      <c r="F133" s="81">
        <v>13.102</v>
      </c>
      <c r="G133" s="104">
        <v>13.5</v>
      </c>
      <c r="H133" s="81">
        <v>13.3</v>
      </c>
      <c r="I133" s="81">
        <v>13.3</v>
      </c>
      <c r="J133" s="81">
        <v>13.5</v>
      </c>
      <c r="K133" s="81">
        <v>13.5</v>
      </c>
      <c r="L133" s="81">
        <v>13.4</v>
      </c>
      <c r="M133" s="81">
        <v>13.5</v>
      </c>
      <c r="N133" s="81">
        <v>13.6</v>
      </c>
      <c r="O133" s="81">
        <v>13.6</v>
      </c>
      <c r="P133" s="81">
        <v>14</v>
      </c>
      <c r="Q133" s="81">
        <v>14.1</v>
      </c>
    </row>
    <row r="134" spans="2:38" ht="18.75">
      <c r="B134" s="47" t="s">
        <v>25</v>
      </c>
      <c r="C134" s="51" t="s">
        <v>26</v>
      </c>
      <c r="D134" s="81">
        <v>1.111</v>
      </c>
      <c r="E134" s="81">
        <v>1.3160000000000001</v>
      </c>
      <c r="F134" s="81">
        <v>1.2</v>
      </c>
      <c r="G134" s="104">
        <v>0.9</v>
      </c>
      <c r="H134" s="81">
        <v>1.1000000000000001</v>
      </c>
      <c r="I134" s="81">
        <v>1.8</v>
      </c>
      <c r="J134" s="81">
        <v>2</v>
      </c>
      <c r="K134" s="81">
        <v>2.2000000000000002</v>
      </c>
      <c r="L134" s="81">
        <v>1.9</v>
      </c>
      <c r="M134" s="81">
        <v>2.1</v>
      </c>
      <c r="N134" s="81">
        <v>2.2999999999999998</v>
      </c>
      <c r="O134" s="81">
        <v>2</v>
      </c>
      <c r="P134" s="81">
        <v>2.2999999999999998</v>
      </c>
      <c r="Q134" s="81">
        <v>2.4</v>
      </c>
    </row>
    <row r="135" spans="2:38" ht="18.75">
      <c r="B135" s="47" t="s">
        <v>27</v>
      </c>
      <c r="C135" s="51" t="s">
        <v>28</v>
      </c>
      <c r="D135" s="81">
        <v>0.3</v>
      </c>
      <c r="E135" s="98">
        <v>0.23777980000000001</v>
      </c>
      <c r="F135" s="98">
        <v>0.18369759999999999</v>
      </c>
      <c r="G135" s="104">
        <v>0.2</v>
      </c>
      <c r="H135" s="98">
        <v>0.20949999999999999</v>
      </c>
      <c r="I135" s="81">
        <v>0.2</v>
      </c>
      <c r="J135" s="81">
        <v>0.2</v>
      </c>
      <c r="K135" s="81">
        <v>0.2</v>
      </c>
      <c r="L135" s="81">
        <v>0.2</v>
      </c>
      <c r="M135" s="81">
        <v>0.3</v>
      </c>
      <c r="N135" s="81">
        <v>0.3</v>
      </c>
      <c r="O135" s="81">
        <v>0.2</v>
      </c>
      <c r="P135" s="81">
        <v>0.3</v>
      </c>
      <c r="Q135" s="81">
        <v>0.3</v>
      </c>
    </row>
    <row r="136" spans="2:38" ht="18.75" hidden="1">
      <c r="B136" s="47" t="s">
        <v>30</v>
      </c>
      <c r="C136" s="51" t="s">
        <v>20</v>
      </c>
      <c r="D136" s="81"/>
      <c r="E136" s="81"/>
      <c r="F136" s="81"/>
      <c r="G136" s="104"/>
      <c r="H136" s="81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2:38" ht="18.75" hidden="1">
      <c r="B137" s="47" t="s">
        <v>31</v>
      </c>
      <c r="C137" s="51" t="s">
        <v>32</v>
      </c>
      <c r="D137" s="81"/>
      <c r="E137" s="81"/>
      <c r="F137" s="81"/>
      <c r="G137" s="104"/>
      <c r="H137" s="81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2:38" s="2" customFormat="1" ht="18.75">
      <c r="B138" s="50" t="s">
        <v>33</v>
      </c>
      <c r="C138" s="7" t="s">
        <v>20</v>
      </c>
      <c r="D138" s="83">
        <v>1.1000000000000001</v>
      </c>
      <c r="E138" s="83">
        <v>1.1000000000000001</v>
      </c>
      <c r="F138" s="83">
        <v>0.9</v>
      </c>
      <c r="G138" s="106">
        <v>1</v>
      </c>
      <c r="H138" s="83">
        <v>1</v>
      </c>
      <c r="I138" s="83">
        <v>0.9</v>
      </c>
      <c r="J138" s="83">
        <v>1</v>
      </c>
      <c r="K138" s="83">
        <v>1.1000000000000001</v>
      </c>
      <c r="L138" s="83">
        <v>1</v>
      </c>
      <c r="M138" s="83">
        <v>1.1000000000000001</v>
      </c>
      <c r="N138" s="83">
        <v>1.2</v>
      </c>
      <c r="O138" s="83">
        <v>1.2</v>
      </c>
      <c r="P138" s="83">
        <v>1.4</v>
      </c>
      <c r="Q138" s="83">
        <v>1.4</v>
      </c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4"/>
      <c r="AE138" s="34"/>
      <c r="AF138" s="34"/>
      <c r="AG138" s="34"/>
      <c r="AH138" s="34"/>
      <c r="AI138" s="34"/>
      <c r="AJ138" s="34"/>
      <c r="AK138" s="34"/>
      <c r="AL138" s="34"/>
    </row>
    <row r="139" spans="2:38" s="2" customFormat="1" ht="18.75">
      <c r="B139" s="50" t="s">
        <v>34</v>
      </c>
      <c r="C139" s="7" t="s">
        <v>20</v>
      </c>
      <c r="D139" s="83">
        <v>0.1</v>
      </c>
      <c r="E139" s="83">
        <v>0.1</v>
      </c>
      <c r="F139" s="83">
        <v>0.1</v>
      </c>
      <c r="G139" s="106">
        <v>0.1</v>
      </c>
      <c r="H139" s="83">
        <v>0.1</v>
      </c>
      <c r="I139" s="83">
        <v>0.1</v>
      </c>
      <c r="J139" s="83">
        <v>0.1</v>
      </c>
      <c r="K139" s="83">
        <v>0.1</v>
      </c>
      <c r="L139" s="83">
        <v>0.1</v>
      </c>
      <c r="M139" s="83">
        <v>0.1</v>
      </c>
      <c r="N139" s="83">
        <v>0.1</v>
      </c>
      <c r="O139" s="83">
        <v>0.1</v>
      </c>
      <c r="P139" s="83">
        <v>0.1</v>
      </c>
      <c r="Q139" s="83">
        <v>0.1</v>
      </c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4"/>
      <c r="AE139" s="34"/>
      <c r="AF139" s="34"/>
      <c r="AG139" s="34"/>
      <c r="AH139" s="34"/>
      <c r="AI139" s="34"/>
      <c r="AJ139" s="34"/>
      <c r="AK139" s="34"/>
      <c r="AL139" s="34"/>
    </row>
    <row r="140" spans="2:38" ht="18.75" hidden="1">
      <c r="B140" s="47" t="s">
        <v>35</v>
      </c>
      <c r="C140" s="51" t="s">
        <v>20</v>
      </c>
      <c r="D140" s="81"/>
      <c r="E140" s="81"/>
      <c r="F140" s="81"/>
      <c r="G140" s="104"/>
      <c r="H140" s="81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2:38" ht="18.75" hidden="1">
      <c r="B141" s="47" t="s">
        <v>36</v>
      </c>
      <c r="C141" s="51" t="s">
        <v>20</v>
      </c>
      <c r="D141" s="81"/>
      <c r="E141" s="81"/>
      <c r="F141" s="81"/>
      <c r="G141" s="104"/>
      <c r="H141" s="81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2:38" ht="18.75">
      <c r="B142" s="47" t="s">
        <v>37</v>
      </c>
      <c r="C142" s="51" t="s">
        <v>20</v>
      </c>
      <c r="D142" s="81">
        <v>155.9</v>
      </c>
      <c r="E142" s="81">
        <v>158</v>
      </c>
      <c r="F142" s="81">
        <v>155</v>
      </c>
      <c r="G142" s="104">
        <v>160</v>
      </c>
      <c r="H142" s="81">
        <v>161</v>
      </c>
      <c r="I142" s="81">
        <v>163.69999999999999</v>
      </c>
      <c r="J142" s="81">
        <v>163.69999999999999</v>
      </c>
      <c r="K142" s="81">
        <v>163.69999999999999</v>
      </c>
      <c r="L142" s="81">
        <v>171.8</v>
      </c>
      <c r="M142" s="81">
        <v>171.8</v>
      </c>
      <c r="N142" s="81">
        <v>171.8</v>
      </c>
      <c r="O142" s="81">
        <v>180.5</v>
      </c>
      <c r="P142" s="81">
        <v>180.5</v>
      </c>
      <c r="Q142" s="81">
        <v>180.5</v>
      </c>
    </row>
    <row r="143" spans="2:38" ht="18.75" hidden="1">
      <c r="B143" s="47" t="s">
        <v>39</v>
      </c>
      <c r="C143" s="51" t="s">
        <v>38</v>
      </c>
      <c r="D143" s="30"/>
      <c r="E143" s="30"/>
      <c r="F143" s="30"/>
      <c r="G143" s="104"/>
      <c r="H143" s="30"/>
      <c r="I143" s="30"/>
      <c r="J143" s="30"/>
      <c r="K143" s="30"/>
      <c r="L143" s="30"/>
      <c r="M143" s="30"/>
      <c r="N143" s="30"/>
      <c r="O143" s="30"/>
      <c r="P143" s="30"/>
      <c r="Q143" s="30"/>
    </row>
    <row r="144" spans="2:38" ht="18.75" hidden="1">
      <c r="B144" s="47" t="s">
        <v>40</v>
      </c>
      <c r="C144" s="51" t="s">
        <v>38</v>
      </c>
      <c r="D144" s="30"/>
      <c r="E144" s="30"/>
      <c r="F144" s="30"/>
      <c r="G144" s="104"/>
      <c r="H144" s="30"/>
      <c r="I144" s="30"/>
      <c r="J144" s="30"/>
      <c r="K144" s="30"/>
      <c r="L144" s="30"/>
      <c r="M144" s="30"/>
      <c r="N144" s="30"/>
      <c r="O144" s="30"/>
      <c r="P144" s="30"/>
      <c r="Q144" s="30"/>
    </row>
    <row r="145" spans="2:17" ht="18.75" hidden="1">
      <c r="B145" s="47" t="s">
        <v>41</v>
      </c>
      <c r="C145" s="51" t="s">
        <v>38</v>
      </c>
      <c r="D145" s="30"/>
      <c r="E145" s="30"/>
      <c r="F145" s="30"/>
      <c r="G145" s="104"/>
      <c r="H145" s="30"/>
      <c r="I145" s="30"/>
      <c r="J145" s="30"/>
      <c r="K145" s="30"/>
      <c r="L145" s="30"/>
      <c r="M145" s="30"/>
      <c r="N145" s="30"/>
      <c r="O145" s="30"/>
      <c r="P145" s="30"/>
      <c r="Q145" s="30"/>
    </row>
    <row r="146" spans="2:17" ht="18.75" hidden="1">
      <c r="B146" s="47" t="s">
        <v>42</v>
      </c>
      <c r="C146" s="51" t="s">
        <v>38</v>
      </c>
      <c r="D146" s="30"/>
      <c r="E146" s="30"/>
      <c r="F146" s="30"/>
      <c r="G146" s="104"/>
      <c r="H146" s="30"/>
      <c r="I146" s="30"/>
      <c r="J146" s="30"/>
      <c r="K146" s="30"/>
      <c r="L146" s="30"/>
      <c r="M146" s="30"/>
      <c r="N146" s="30"/>
      <c r="O146" s="30"/>
      <c r="P146" s="30"/>
      <c r="Q146" s="30"/>
    </row>
    <row r="147" spans="2:17" ht="37.5" hidden="1">
      <c r="B147" s="47" t="s">
        <v>43</v>
      </c>
      <c r="C147" s="51" t="s">
        <v>38</v>
      </c>
      <c r="D147" s="30"/>
      <c r="E147" s="30"/>
      <c r="F147" s="30"/>
      <c r="G147" s="104"/>
      <c r="H147" s="30"/>
      <c r="I147" s="30"/>
      <c r="J147" s="30"/>
      <c r="K147" s="30"/>
      <c r="L147" s="30"/>
      <c r="M147" s="30"/>
      <c r="N147" s="30"/>
      <c r="O147" s="30"/>
      <c r="P147" s="30"/>
      <c r="Q147" s="30"/>
    </row>
    <row r="148" spans="2:17" ht="18.75" hidden="1">
      <c r="B148" s="47" t="s">
        <v>44</v>
      </c>
      <c r="C148" s="51" t="s">
        <v>26</v>
      </c>
      <c r="D148" s="30"/>
      <c r="E148" s="30"/>
      <c r="F148" s="30"/>
      <c r="G148" s="104"/>
      <c r="H148" s="30"/>
      <c r="I148" s="30"/>
      <c r="J148" s="30"/>
      <c r="K148" s="30"/>
      <c r="L148" s="30"/>
      <c r="M148" s="30"/>
      <c r="N148" s="30"/>
      <c r="O148" s="30"/>
      <c r="P148" s="30"/>
      <c r="Q148" s="30"/>
    </row>
    <row r="149" spans="2:17" ht="18.75" hidden="1">
      <c r="B149" s="47" t="s">
        <v>45</v>
      </c>
      <c r="C149" s="51" t="s">
        <v>46</v>
      </c>
      <c r="D149" s="30"/>
      <c r="E149" s="30"/>
      <c r="F149" s="30"/>
      <c r="G149" s="104"/>
      <c r="H149" s="30"/>
      <c r="I149" s="30"/>
      <c r="J149" s="30"/>
      <c r="K149" s="30"/>
      <c r="L149" s="30"/>
      <c r="M149" s="30"/>
      <c r="N149" s="30"/>
      <c r="O149" s="30"/>
      <c r="P149" s="30"/>
      <c r="Q149" s="30"/>
    </row>
    <row r="150" spans="2:17" ht="56.25" hidden="1">
      <c r="B150" s="47" t="s">
        <v>47</v>
      </c>
      <c r="C150" s="51" t="s">
        <v>28</v>
      </c>
      <c r="D150" s="30"/>
      <c r="E150" s="30"/>
      <c r="F150" s="30"/>
      <c r="G150" s="104"/>
      <c r="H150" s="30"/>
      <c r="I150" s="30"/>
      <c r="J150" s="30"/>
      <c r="K150" s="30"/>
      <c r="L150" s="30"/>
      <c r="M150" s="30"/>
      <c r="N150" s="30"/>
      <c r="O150" s="30"/>
      <c r="P150" s="30"/>
      <c r="Q150" s="30"/>
    </row>
    <row r="151" spans="2:17" ht="18.75" hidden="1">
      <c r="B151" s="47" t="s">
        <v>48</v>
      </c>
      <c r="C151" s="51" t="s">
        <v>29</v>
      </c>
      <c r="D151" s="30"/>
      <c r="E151" s="30"/>
      <c r="F151" s="30"/>
      <c r="G151" s="104"/>
      <c r="H151" s="30"/>
      <c r="I151" s="30"/>
      <c r="J151" s="30"/>
      <c r="K151" s="30"/>
      <c r="L151" s="30"/>
      <c r="M151" s="30"/>
      <c r="N151" s="30"/>
      <c r="O151" s="30"/>
      <c r="P151" s="30"/>
      <c r="Q151" s="30"/>
    </row>
    <row r="152" spans="2:17" ht="18.75" hidden="1">
      <c r="B152" s="47" t="s">
        <v>49</v>
      </c>
      <c r="C152" s="51" t="s">
        <v>29</v>
      </c>
      <c r="D152" s="30"/>
      <c r="E152" s="30"/>
      <c r="F152" s="30"/>
      <c r="G152" s="104"/>
      <c r="H152" s="30"/>
      <c r="I152" s="30"/>
      <c r="J152" s="30"/>
      <c r="K152" s="30"/>
      <c r="L152" s="30"/>
      <c r="M152" s="30"/>
      <c r="N152" s="30"/>
      <c r="O152" s="30"/>
      <c r="P152" s="30"/>
      <c r="Q152" s="30"/>
    </row>
    <row r="153" spans="2:17" ht="18.75" hidden="1">
      <c r="B153" s="47" t="s">
        <v>50</v>
      </c>
      <c r="C153" s="51" t="s">
        <v>20</v>
      </c>
      <c r="D153" s="30"/>
      <c r="E153" s="30"/>
      <c r="F153" s="30"/>
      <c r="G153" s="104"/>
      <c r="H153" s="30"/>
      <c r="I153" s="30"/>
      <c r="J153" s="30"/>
      <c r="K153" s="30"/>
      <c r="L153" s="30"/>
      <c r="M153" s="30"/>
      <c r="N153" s="30"/>
      <c r="O153" s="30"/>
      <c r="P153" s="30"/>
      <c r="Q153" s="30"/>
    </row>
    <row r="154" spans="2:17" ht="18.75" hidden="1">
      <c r="B154" s="47" t="s">
        <v>51</v>
      </c>
      <c r="C154" s="51" t="s">
        <v>29</v>
      </c>
      <c r="D154" s="30"/>
      <c r="E154" s="30"/>
      <c r="F154" s="30"/>
      <c r="G154" s="104"/>
      <c r="H154" s="30"/>
      <c r="I154" s="30"/>
      <c r="J154" s="30"/>
      <c r="K154" s="30"/>
      <c r="L154" s="30"/>
      <c r="M154" s="30"/>
      <c r="N154" s="30"/>
      <c r="O154" s="30"/>
      <c r="P154" s="30"/>
      <c r="Q154" s="30"/>
    </row>
    <row r="155" spans="2:17" ht="56.25" hidden="1">
      <c r="B155" s="47" t="s">
        <v>109</v>
      </c>
      <c r="C155" s="51" t="s">
        <v>29</v>
      </c>
      <c r="D155" s="30"/>
      <c r="E155" s="30"/>
      <c r="F155" s="30"/>
      <c r="G155" s="104"/>
      <c r="H155" s="30"/>
      <c r="I155" s="30"/>
      <c r="J155" s="30"/>
      <c r="K155" s="30"/>
      <c r="L155" s="30"/>
      <c r="M155" s="30"/>
      <c r="N155" s="30"/>
      <c r="O155" s="30"/>
      <c r="P155" s="30"/>
      <c r="Q155" s="30"/>
    </row>
    <row r="156" spans="2:17" ht="18.75" hidden="1">
      <c r="B156" s="47" t="s">
        <v>52</v>
      </c>
      <c r="C156" s="51" t="s">
        <v>53</v>
      </c>
      <c r="D156" s="30"/>
      <c r="E156" s="30"/>
      <c r="F156" s="30"/>
      <c r="G156" s="104"/>
      <c r="H156" s="30"/>
      <c r="I156" s="30"/>
      <c r="J156" s="30"/>
      <c r="K156" s="30"/>
      <c r="L156" s="30"/>
      <c r="M156" s="30"/>
      <c r="N156" s="30"/>
      <c r="O156" s="30"/>
      <c r="P156" s="30"/>
      <c r="Q156" s="30"/>
    </row>
    <row r="157" spans="2:17" ht="37.5" hidden="1">
      <c r="B157" s="58" t="s">
        <v>54</v>
      </c>
      <c r="C157" s="51" t="s">
        <v>20</v>
      </c>
      <c r="D157" s="30"/>
      <c r="E157" s="30"/>
      <c r="F157" s="30"/>
      <c r="G157" s="104"/>
      <c r="H157" s="30"/>
      <c r="I157" s="30"/>
      <c r="J157" s="30"/>
      <c r="K157" s="30"/>
      <c r="L157" s="30"/>
      <c r="M157" s="30"/>
      <c r="N157" s="30"/>
      <c r="O157" s="30"/>
      <c r="P157" s="30"/>
      <c r="Q157" s="30"/>
    </row>
    <row r="158" spans="2:17" ht="37.5" hidden="1">
      <c r="B158" s="58" t="s">
        <v>55</v>
      </c>
      <c r="C158" s="51" t="s">
        <v>56</v>
      </c>
      <c r="D158" s="30"/>
      <c r="E158" s="30"/>
      <c r="F158" s="30"/>
      <c r="G158" s="104"/>
      <c r="H158" s="30"/>
      <c r="I158" s="30"/>
      <c r="J158" s="30"/>
      <c r="K158" s="30"/>
      <c r="L158" s="30"/>
      <c r="M158" s="30"/>
      <c r="N158" s="30"/>
      <c r="O158" s="30"/>
      <c r="P158" s="30"/>
      <c r="Q158" s="30"/>
    </row>
    <row r="159" spans="2:17" ht="18.75" hidden="1">
      <c r="B159" s="47" t="s">
        <v>57</v>
      </c>
      <c r="C159" s="51" t="s">
        <v>58</v>
      </c>
      <c r="D159" s="30"/>
      <c r="E159" s="30"/>
      <c r="F159" s="30"/>
      <c r="G159" s="104"/>
      <c r="H159" s="30"/>
      <c r="I159" s="30"/>
      <c r="J159" s="30"/>
      <c r="K159" s="30"/>
      <c r="L159" s="30"/>
      <c r="M159" s="30"/>
      <c r="N159" s="30"/>
      <c r="O159" s="30"/>
      <c r="P159" s="30"/>
      <c r="Q159" s="30"/>
    </row>
    <row r="160" spans="2:17" ht="18.75" hidden="1">
      <c r="B160" s="47" t="s">
        <v>59</v>
      </c>
      <c r="C160" s="51"/>
      <c r="D160" s="30"/>
      <c r="E160" s="30"/>
      <c r="F160" s="30"/>
      <c r="G160" s="104"/>
      <c r="H160" s="30"/>
      <c r="I160" s="30"/>
      <c r="J160" s="30"/>
      <c r="K160" s="30"/>
      <c r="L160" s="30"/>
      <c r="M160" s="30"/>
      <c r="N160" s="30"/>
      <c r="O160" s="30"/>
      <c r="P160" s="30"/>
      <c r="Q160" s="30"/>
    </row>
    <row r="161" spans="2:17" ht="18.75" hidden="1">
      <c r="B161" s="47" t="s">
        <v>60</v>
      </c>
      <c r="C161" s="51" t="s">
        <v>58</v>
      </c>
      <c r="D161" s="30"/>
      <c r="E161" s="30"/>
      <c r="F161" s="30"/>
      <c r="G161" s="104"/>
      <c r="H161" s="30"/>
      <c r="I161" s="30"/>
      <c r="J161" s="30"/>
      <c r="K161" s="30"/>
      <c r="L161" s="30"/>
      <c r="M161" s="30"/>
      <c r="N161" s="30"/>
      <c r="O161" s="30"/>
      <c r="P161" s="30"/>
      <c r="Q161" s="30"/>
    </row>
    <row r="162" spans="2:17" ht="18.75" hidden="1">
      <c r="B162" s="47" t="s">
        <v>61</v>
      </c>
      <c r="C162" s="51" t="s">
        <v>58</v>
      </c>
      <c r="D162" s="30"/>
      <c r="E162" s="30"/>
      <c r="F162" s="30"/>
      <c r="G162" s="104"/>
      <c r="H162" s="30"/>
      <c r="I162" s="30"/>
      <c r="J162" s="30"/>
      <c r="K162" s="30"/>
      <c r="L162" s="30"/>
      <c r="M162" s="30"/>
      <c r="N162" s="30"/>
      <c r="O162" s="30"/>
      <c r="P162" s="30"/>
      <c r="Q162" s="30"/>
    </row>
    <row r="163" spans="2:17" ht="18.75" hidden="1">
      <c r="B163" s="47" t="s">
        <v>62</v>
      </c>
      <c r="C163" s="51" t="s">
        <v>58</v>
      </c>
      <c r="D163" s="30"/>
      <c r="E163" s="30"/>
      <c r="F163" s="30"/>
      <c r="G163" s="104"/>
      <c r="H163" s="30"/>
      <c r="I163" s="30"/>
      <c r="J163" s="30"/>
      <c r="K163" s="30"/>
      <c r="L163" s="30"/>
      <c r="M163" s="30"/>
      <c r="N163" s="30"/>
      <c r="O163" s="30"/>
      <c r="P163" s="30"/>
      <c r="Q163" s="30"/>
    </row>
    <row r="164" spans="2:17" ht="18.75">
      <c r="B164" s="45" t="s">
        <v>228</v>
      </c>
      <c r="C164" s="51"/>
      <c r="D164" s="30"/>
      <c r="E164" s="30"/>
      <c r="F164" s="30"/>
      <c r="G164" s="104"/>
      <c r="H164" s="30"/>
      <c r="I164" s="30"/>
      <c r="J164" s="30"/>
      <c r="K164" s="30"/>
      <c r="L164" s="30"/>
      <c r="M164" s="30"/>
      <c r="N164" s="30"/>
      <c r="O164" s="30"/>
      <c r="P164" s="30"/>
      <c r="Q164" s="30"/>
    </row>
    <row r="165" spans="2:17" ht="56.25">
      <c r="B165" s="47" t="s">
        <v>63</v>
      </c>
      <c r="C165" s="59" t="s">
        <v>64</v>
      </c>
      <c r="D165" s="81">
        <v>502.916</v>
      </c>
      <c r="E165" s="81">
        <v>259.43799999999999</v>
      </c>
      <c r="F165" s="81">
        <v>283.3</v>
      </c>
      <c r="G165" s="104">
        <v>302</v>
      </c>
      <c r="H165" s="81">
        <v>302</v>
      </c>
      <c r="I165" s="81">
        <v>331.2</v>
      </c>
      <c r="J165" s="81">
        <v>348.4</v>
      </c>
      <c r="K165" s="81">
        <v>355.2</v>
      </c>
      <c r="L165" s="81">
        <v>344</v>
      </c>
      <c r="M165" s="81">
        <v>378.4</v>
      </c>
      <c r="N165" s="81">
        <v>389</v>
      </c>
      <c r="O165" s="81">
        <v>361</v>
      </c>
      <c r="P165" s="81">
        <v>416.3</v>
      </c>
      <c r="Q165" s="81">
        <v>436.8</v>
      </c>
    </row>
    <row r="166" spans="2:17" ht="56.25">
      <c r="B166" s="47" t="s">
        <v>65</v>
      </c>
      <c r="C166" s="51" t="s">
        <v>66</v>
      </c>
      <c r="D166" s="30">
        <v>0</v>
      </c>
      <c r="E166" s="30">
        <f>E165/D165/E167*10000</f>
        <v>49.698213966053636</v>
      </c>
      <c r="F166" s="30">
        <f>F165/E165/F167*10000</f>
        <v>105.40306294976004</v>
      </c>
      <c r="G166" s="125">
        <v>96.2</v>
      </c>
      <c r="H166" s="125">
        <f>H165/G165/H167*10000</f>
        <v>95.877277085330789</v>
      </c>
      <c r="I166" s="125">
        <f t="shared" ref="I166" si="20">I165/H165/I167*10000</f>
        <v>104.34716857486721</v>
      </c>
      <c r="J166" s="125">
        <f>J165/H165/J167*10000</f>
        <v>110.18551901680614</v>
      </c>
      <c r="K166" s="125">
        <f>K165/H165/K167*10000</f>
        <v>112.33609745915481</v>
      </c>
      <c r="L166" s="125">
        <f>L165/I165/L167*10000</f>
        <v>99.678247888211999</v>
      </c>
      <c r="M166" s="125">
        <f>M165/J165/M167*10000</f>
        <v>104.13307017534203</v>
      </c>
      <c r="N166" s="125">
        <f>N165/K165/N167*10000</f>
        <v>105.00073419536507</v>
      </c>
      <c r="O166" s="125">
        <f t="shared" ref="O166:Q166" si="21">O165/L165/O167*10000</f>
        <v>100.61539833664074</v>
      </c>
      <c r="P166" s="125">
        <f t="shared" si="21"/>
        <v>106.0905074607391</v>
      </c>
      <c r="Q166" s="125">
        <f t="shared" si="21"/>
        <v>108.28150215794523</v>
      </c>
    </row>
    <row r="167" spans="2:17" ht="37.5">
      <c r="B167" s="47" t="s">
        <v>220</v>
      </c>
      <c r="C167" s="51" t="s">
        <v>115</v>
      </c>
      <c r="D167" s="30">
        <v>0</v>
      </c>
      <c r="E167" s="30">
        <v>103.8</v>
      </c>
      <c r="F167" s="30">
        <v>103.6</v>
      </c>
      <c r="G167" s="123">
        <v>110.8</v>
      </c>
      <c r="H167" s="123">
        <v>104.3</v>
      </c>
      <c r="I167" s="123">
        <v>105.1</v>
      </c>
      <c r="J167" s="123">
        <v>104.7</v>
      </c>
      <c r="K167" s="123">
        <v>104.7</v>
      </c>
      <c r="L167" s="123">
        <v>104.2</v>
      </c>
      <c r="M167" s="123">
        <v>104.3</v>
      </c>
      <c r="N167" s="123">
        <v>104.3</v>
      </c>
      <c r="O167" s="123">
        <v>104.3</v>
      </c>
      <c r="P167" s="123">
        <v>103.7</v>
      </c>
      <c r="Q167" s="123">
        <v>103.7</v>
      </c>
    </row>
    <row r="168" spans="2:17" ht="37.5">
      <c r="B168" s="58" t="s">
        <v>67</v>
      </c>
      <c r="C168" s="59" t="s">
        <v>68</v>
      </c>
      <c r="D168" s="30">
        <v>2.1</v>
      </c>
      <c r="E168" s="30">
        <v>2.8610000000000002</v>
      </c>
      <c r="F168" s="98">
        <v>2.0339999999999998</v>
      </c>
      <c r="G168" s="104">
        <v>1.9</v>
      </c>
      <c r="H168" s="30">
        <v>2.2999999999999998</v>
      </c>
      <c r="I168" s="30">
        <v>2.1</v>
      </c>
      <c r="J168" s="30">
        <v>2.2999999999999998</v>
      </c>
      <c r="K168" s="30">
        <v>2.4</v>
      </c>
      <c r="L168" s="30">
        <v>2.2000000000000002</v>
      </c>
      <c r="M168" s="30">
        <v>2.2999999999999998</v>
      </c>
      <c r="N168" s="30">
        <v>2.4</v>
      </c>
      <c r="O168" s="30">
        <v>2.2000000000000002</v>
      </c>
      <c r="P168" s="30">
        <v>2.2999999999999998</v>
      </c>
      <c r="Q168" s="30">
        <v>2.5</v>
      </c>
    </row>
    <row r="169" spans="2:17" ht="18.75">
      <c r="B169" s="58" t="s">
        <v>69</v>
      </c>
      <c r="C169" s="59" t="s">
        <v>70</v>
      </c>
      <c r="D169" s="30">
        <v>100</v>
      </c>
      <c r="E169" s="81">
        <v>100</v>
      </c>
      <c r="F169" s="81">
        <v>75.67</v>
      </c>
      <c r="G169" s="104">
        <v>75.7</v>
      </c>
      <c r="H169" s="81">
        <v>100</v>
      </c>
      <c r="I169" s="81">
        <v>100</v>
      </c>
      <c r="J169" s="81">
        <v>100</v>
      </c>
      <c r="K169" s="81">
        <v>100</v>
      </c>
      <c r="L169" s="81">
        <v>100</v>
      </c>
      <c r="M169" s="81">
        <v>100</v>
      </c>
      <c r="N169" s="81">
        <v>100</v>
      </c>
      <c r="O169" s="81">
        <v>100</v>
      </c>
      <c r="P169" s="81">
        <v>100</v>
      </c>
      <c r="Q169" s="81">
        <v>100</v>
      </c>
    </row>
    <row r="170" spans="2:17" ht="18.75">
      <c r="B170" s="60" t="s">
        <v>229</v>
      </c>
      <c r="C170" s="60"/>
      <c r="D170" s="61"/>
      <c r="E170" s="61"/>
      <c r="F170" s="61"/>
      <c r="G170" s="109"/>
      <c r="H170" s="61"/>
      <c r="I170" s="61"/>
      <c r="J170" s="61"/>
      <c r="K170" s="61"/>
      <c r="L170" s="61"/>
      <c r="M170" s="61"/>
      <c r="N170" s="61"/>
      <c r="O170" s="61"/>
      <c r="P170" s="61"/>
      <c r="Q170" s="61"/>
    </row>
    <row r="171" spans="2:17" ht="56.25">
      <c r="B171" s="58" t="s">
        <v>89</v>
      </c>
      <c r="C171" s="51" t="s">
        <v>64</v>
      </c>
      <c r="D171" s="81">
        <v>312.92</v>
      </c>
      <c r="E171" s="81">
        <v>220.56399999999999</v>
      </c>
      <c r="F171" s="98">
        <v>311.404</v>
      </c>
      <c r="G171" s="104">
        <v>337.18799999999999</v>
      </c>
      <c r="H171" s="81">
        <v>279.3</v>
      </c>
      <c r="I171" s="81">
        <f>I177</f>
        <v>275.5</v>
      </c>
      <c r="J171" s="81">
        <f t="shared" ref="J171:Q171" si="22">J177</f>
        <v>302.10000000000002</v>
      </c>
      <c r="K171" s="81">
        <f t="shared" si="22"/>
        <v>328</v>
      </c>
      <c r="L171" s="81">
        <f t="shared" si="22"/>
        <v>282.39999999999998</v>
      </c>
      <c r="M171" s="81">
        <f t="shared" si="22"/>
        <v>311.5</v>
      </c>
      <c r="N171" s="81">
        <f t="shared" si="22"/>
        <v>339.8</v>
      </c>
      <c r="O171" s="81">
        <f t="shared" si="22"/>
        <v>305.2</v>
      </c>
      <c r="P171" s="81">
        <f t="shared" si="22"/>
        <v>347.7</v>
      </c>
      <c r="Q171" s="81">
        <f t="shared" si="22"/>
        <v>379.4</v>
      </c>
    </row>
    <row r="172" spans="2:17" ht="56.25">
      <c r="B172" s="58" t="s">
        <v>90</v>
      </c>
      <c r="C172" s="51" t="s">
        <v>66</v>
      </c>
      <c r="D172" s="30">
        <v>93.3</v>
      </c>
      <c r="E172" s="30">
        <f>E171/D171/E173*10000</f>
        <v>66.747866624831985</v>
      </c>
      <c r="F172" s="30">
        <f>F171/E171/F173*10000</f>
        <v>134.59039551416751</v>
      </c>
      <c r="G172" s="125">
        <f>G171/F171/G173*10000</f>
        <v>94.485095404088128</v>
      </c>
      <c r="H172" s="125">
        <f>H171/F171/H173*10000</f>
        <v>85.095410570823049</v>
      </c>
      <c r="I172" s="125">
        <f t="shared" ref="I172" si="23">I171/H171/I173*10000</f>
        <v>93.763741237940039</v>
      </c>
      <c r="J172" s="125">
        <f>J171/H171/J173*10000</f>
        <v>102.71915033819798</v>
      </c>
      <c r="K172" s="125">
        <f t="shared" ref="K172:Q172" si="24">K171/H171/K173*10000</f>
        <v>111.52559189317753</v>
      </c>
      <c r="L172" s="125">
        <f t="shared" si="24"/>
        <v>97.996689488605796</v>
      </c>
      <c r="M172" s="125">
        <f t="shared" si="24"/>
        <v>98.388885940907272</v>
      </c>
      <c r="N172" s="125">
        <f t="shared" si="24"/>
        <v>98.852634518711625</v>
      </c>
      <c r="O172" s="125">
        <f t="shared" si="24"/>
        <v>103.32089329917291</v>
      </c>
      <c r="P172" s="125">
        <f t="shared" si="24"/>
        <v>106.71241663571998</v>
      </c>
      <c r="Q172" s="125">
        <f t="shared" si="24"/>
        <v>106.7437036970347</v>
      </c>
    </row>
    <row r="173" spans="2:17" ht="37.5">
      <c r="B173" s="47" t="s">
        <v>91</v>
      </c>
      <c r="C173" s="51" t="s">
        <v>115</v>
      </c>
      <c r="D173" s="30">
        <v>105.5</v>
      </c>
      <c r="E173" s="30">
        <v>105.6</v>
      </c>
      <c r="F173" s="30">
        <v>104.9</v>
      </c>
      <c r="G173" s="123">
        <v>114.6</v>
      </c>
      <c r="H173" s="123">
        <v>105.4</v>
      </c>
      <c r="I173" s="123">
        <v>105.2</v>
      </c>
      <c r="J173" s="123">
        <v>105.3</v>
      </c>
      <c r="K173" s="123">
        <v>105.3</v>
      </c>
      <c r="L173" s="123">
        <v>104.6</v>
      </c>
      <c r="M173" s="123">
        <v>104.8</v>
      </c>
      <c r="N173" s="123">
        <v>104.8</v>
      </c>
      <c r="O173" s="123">
        <v>104.6</v>
      </c>
      <c r="P173" s="123">
        <v>104.6</v>
      </c>
      <c r="Q173" s="123">
        <v>104.6</v>
      </c>
    </row>
    <row r="174" spans="2:17" ht="75" hidden="1">
      <c r="B174" s="47" t="s">
        <v>92</v>
      </c>
      <c r="C174" s="51" t="s">
        <v>116</v>
      </c>
      <c r="D174" s="30"/>
      <c r="E174" s="30"/>
      <c r="F174" s="30"/>
      <c r="G174" s="104"/>
      <c r="H174" s="30"/>
      <c r="I174" s="30"/>
      <c r="J174" s="30"/>
      <c r="K174" s="30"/>
      <c r="L174" s="30"/>
      <c r="M174" s="30"/>
      <c r="N174" s="30"/>
      <c r="O174" s="30"/>
      <c r="P174" s="30"/>
      <c r="Q174" s="30"/>
    </row>
    <row r="175" spans="2:17" ht="56.25" hidden="1">
      <c r="B175" s="47" t="s">
        <v>93</v>
      </c>
      <c r="C175" s="51" t="s">
        <v>66</v>
      </c>
      <c r="D175" s="30"/>
      <c r="E175" s="30"/>
      <c r="F175" s="30"/>
      <c r="G175" s="104"/>
      <c r="H175" s="30"/>
      <c r="I175" s="30"/>
      <c r="J175" s="30"/>
      <c r="K175" s="30"/>
      <c r="L175" s="30"/>
      <c r="M175" s="30"/>
      <c r="N175" s="30"/>
      <c r="O175" s="30"/>
      <c r="P175" s="30"/>
      <c r="Q175" s="30"/>
    </row>
    <row r="176" spans="2:17" ht="37.5" hidden="1">
      <c r="B176" s="47" t="s">
        <v>91</v>
      </c>
      <c r="C176" s="51" t="s">
        <v>115</v>
      </c>
      <c r="D176" s="30"/>
      <c r="E176" s="30"/>
      <c r="F176" s="30"/>
      <c r="G176" s="104"/>
      <c r="H176" s="30"/>
      <c r="I176" s="30"/>
      <c r="J176" s="30"/>
      <c r="K176" s="30"/>
      <c r="L176" s="30"/>
      <c r="M176" s="30"/>
      <c r="N176" s="30"/>
      <c r="O176" s="30"/>
      <c r="P176" s="30"/>
      <c r="Q176" s="30"/>
    </row>
    <row r="177" spans="2:17" ht="75">
      <c r="B177" s="62" t="s">
        <v>94</v>
      </c>
      <c r="C177" s="62"/>
      <c r="D177" s="84">
        <f>D178+D179</f>
        <v>312.928</v>
      </c>
      <c r="E177" s="63">
        <v>220.56399999999999</v>
      </c>
      <c r="F177" s="63">
        <v>273.471</v>
      </c>
      <c r="G177" s="110">
        <v>337.2</v>
      </c>
      <c r="H177" s="63">
        <f>H178+H179</f>
        <v>279.3</v>
      </c>
      <c r="I177" s="63">
        <v>275.5</v>
      </c>
      <c r="J177" s="63">
        <v>302.10000000000002</v>
      </c>
      <c r="K177" s="63">
        <v>328</v>
      </c>
      <c r="L177" s="63">
        <v>282.39999999999998</v>
      </c>
      <c r="M177" s="63">
        <v>311.5</v>
      </c>
      <c r="N177" s="63">
        <v>339.8</v>
      </c>
      <c r="O177" s="63">
        <v>305.2</v>
      </c>
      <c r="P177" s="63">
        <v>347.7</v>
      </c>
      <c r="Q177" s="63">
        <v>379.4</v>
      </c>
    </row>
    <row r="178" spans="2:17" ht="18.75">
      <c r="B178" s="58" t="s">
        <v>95</v>
      </c>
      <c r="C178" s="51" t="s">
        <v>96</v>
      </c>
      <c r="D178" s="30">
        <v>257.33100000000002</v>
      </c>
      <c r="E178" s="30">
        <v>176.6</v>
      </c>
      <c r="F178" s="30">
        <v>204.8</v>
      </c>
      <c r="G178" s="103">
        <v>192.2</v>
      </c>
      <c r="H178" s="31">
        <v>207</v>
      </c>
      <c r="I178" s="31">
        <f>I177-I179</f>
        <v>160.809</v>
      </c>
      <c r="J178" s="31">
        <f>J177-J179</f>
        <v>168.20900000000003</v>
      </c>
      <c r="K178" s="31">
        <f t="shared" ref="K178:Q178" si="25">K177-K179</f>
        <v>178.809</v>
      </c>
      <c r="L178" s="31">
        <v>182.4</v>
      </c>
      <c r="M178" s="31">
        <f t="shared" si="25"/>
        <v>189.8</v>
      </c>
      <c r="N178" s="31">
        <f t="shared" si="25"/>
        <v>200.3</v>
      </c>
      <c r="O178" s="31">
        <f t="shared" si="25"/>
        <v>184.2</v>
      </c>
      <c r="P178" s="31">
        <f t="shared" si="25"/>
        <v>204.7</v>
      </c>
      <c r="Q178" s="31">
        <f t="shared" si="25"/>
        <v>233.39999999999998</v>
      </c>
    </row>
    <row r="179" spans="2:17" ht="18.75">
      <c r="B179" s="58" t="s">
        <v>97</v>
      </c>
      <c r="C179" s="51" t="s">
        <v>96</v>
      </c>
      <c r="D179" s="30">
        <v>55.597000000000001</v>
      </c>
      <c r="E179" s="30">
        <v>44</v>
      </c>
      <c r="F179" s="31">
        <f>F183+F188</f>
        <v>68.706000000000003</v>
      </c>
      <c r="G179" s="103">
        <v>145</v>
      </c>
      <c r="H179" s="31">
        <f>H183+H188</f>
        <v>72.3</v>
      </c>
      <c r="I179" s="31">
        <f>I183+I188</f>
        <v>114.691</v>
      </c>
      <c r="J179" s="31">
        <f>J183+J188</f>
        <v>133.89099999999999</v>
      </c>
      <c r="K179" s="31">
        <f>K183+K188</f>
        <v>149.191</v>
      </c>
      <c r="L179" s="31">
        <f t="shared" ref="L179:Q179" si="26">L183+L188</f>
        <v>96</v>
      </c>
      <c r="M179" s="31">
        <f t="shared" si="26"/>
        <v>121.7</v>
      </c>
      <c r="N179" s="31">
        <f t="shared" si="26"/>
        <v>139.5</v>
      </c>
      <c r="O179" s="31">
        <f t="shared" si="26"/>
        <v>121</v>
      </c>
      <c r="P179" s="31">
        <f t="shared" si="26"/>
        <v>143</v>
      </c>
      <c r="Q179" s="31">
        <f t="shared" si="26"/>
        <v>146</v>
      </c>
    </row>
    <row r="180" spans="2:17" ht="18.75">
      <c r="B180" s="47" t="s">
        <v>98</v>
      </c>
      <c r="C180" s="51" t="s">
        <v>96</v>
      </c>
      <c r="D180" s="30"/>
      <c r="E180" s="30"/>
      <c r="F180" s="30"/>
      <c r="G180" s="104"/>
      <c r="H180" s="30"/>
      <c r="I180" s="30"/>
      <c r="J180" s="30"/>
      <c r="K180" s="30"/>
      <c r="L180" s="30"/>
      <c r="M180" s="30"/>
      <c r="N180" s="30"/>
      <c r="O180" s="30"/>
      <c r="P180" s="30"/>
      <c r="Q180" s="30"/>
    </row>
    <row r="181" spans="2:17" ht="18.75">
      <c r="B181" s="47" t="s">
        <v>99</v>
      </c>
      <c r="C181" s="51" t="s">
        <v>96</v>
      </c>
      <c r="D181" s="30"/>
      <c r="E181" s="30"/>
      <c r="F181" s="30"/>
      <c r="G181" s="104"/>
      <c r="H181" s="30"/>
      <c r="I181" s="94"/>
      <c r="J181" s="30"/>
      <c r="K181" s="30"/>
      <c r="L181" s="30"/>
      <c r="M181" s="30"/>
      <c r="N181" s="30"/>
      <c r="O181" s="30"/>
      <c r="P181" s="30"/>
      <c r="Q181" s="30"/>
    </row>
    <row r="182" spans="2:17" ht="18.75">
      <c r="B182" s="47" t="s">
        <v>100</v>
      </c>
      <c r="C182" s="51" t="s">
        <v>96</v>
      </c>
      <c r="D182" s="30"/>
      <c r="E182" s="30"/>
      <c r="F182" s="30"/>
      <c r="G182" s="104"/>
      <c r="H182" s="30"/>
      <c r="I182" s="30"/>
      <c r="J182" s="30"/>
      <c r="K182" s="30"/>
      <c r="L182" s="30"/>
      <c r="M182" s="30"/>
      <c r="N182" s="30"/>
      <c r="O182" s="30"/>
      <c r="P182" s="30"/>
      <c r="Q182" s="30"/>
    </row>
    <row r="183" spans="2:17" ht="18.75">
      <c r="B183" s="47" t="s">
        <v>101</v>
      </c>
      <c r="C183" s="51" t="s">
        <v>96</v>
      </c>
      <c r="D183" s="31">
        <f>D185+D186+D187</f>
        <v>55.218999999999994</v>
      </c>
      <c r="E183" s="78">
        <f>E185+E186+E187</f>
        <v>43.2</v>
      </c>
      <c r="F183" s="78">
        <f>F185+F186+F187</f>
        <v>67.206000000000003</v>
      </c>
      <c r="G183" s="103">
        <v>35.9</v>
      </c>
      <c r="H183" s="78">
        <f>H185+H186+H187</f>
        <v>70.099999999999994</v>
      </c>
      <c r="I183" s="78">
        <f t="shared" ref="I183:Q183" si="27">I185+I186+I187</f>
        <v>109.691</v>
      </c>
      <c r="J183" s="78">
        <f t="shared" si="27"/>
        <v>125.691</v>
      </c>
      <c r="K183" s="78">
        <f t="shared" si="27"/>
        <v>140.691</v>
      </c>
      <c r="L183" s="78">
        <f t="shared" si="27"/>
        <v>93.5</v>
      </c>
      <c r="M183" s="78">
        <f t="shared" si="27"/>
        <v>115.7</v>
      </c>
      <c r="N183" s="78">
        <f t="shared" si="27"/>
        <v>130.5</v>
      </c>
      <c r="O183" s="78">
        <f t="shared" si="27"/>
        <v>119</v>
      </c>
      <c r="P183" s="78">
        <f t="shared" si="27"/>
        <v>138</v>
      </c>
      <c r="Q183" s="78">
        <f t="shared" si="27"/>
        <v>138</v>
      </c>
    </row>
    <row r="184" spans="2:17" ht="18.75">
      <c r="B184" s="47" t="s">
        <v>18</v>
      </c>
      <c r="C184" s="51"/>
      <c r="D184" s="30"/>
      <c r="E184" s="30"/>
      <c r="F184" s="30"/>
      <c r="G184" s="104"/>
      <c r="H184" s="30"/>
      <c r="I184" s="30"/>
      <c r="J184" s="30"/>
      <c r="K184" s="30"/>
      <c r="L184" s="30"/>
      <c r="M184" s="30"/>
      <c r="N184" s="30"/>
      <c r="O184" s="30"/>
      <c r="P184" s="30"/>
      <c r="Q184" s="30"/>
    </row>
    <row r="185" spans="2:17" ht="18.75">
      <c r="B185" s="58" t="s">
        <v>102</v>
      </c>
      <c r="C185" s="51" t="s">
        <v>96</v>
      </c>
      <c r="D185" s="30">
        <v>2.5150000000000001</v>
      </c>
      <c r="E185" s="30">
        <v>7.1</v>
      </c>
      <c r="F185" s="30">
        <f>6.431+11.675</f>
        <v>18.106000000000002</v>
      </c>
      <c r="G185" s="104">
        <v>23.8</v>
      </c>
      <c r="H185" s="30">
        <v>10.1</v>
      </c>
      <c r="I185" s="30">
        <v>66.691000000000003</v>
      </c>
      <c r="J185" s="30">
        <f>66.691+10</f>
        <v>76.691000000000003</v>
      </c>
      <c r="K185" s="30">
        <f>66.691+20</f>
        <v>86.691000000000003</v>
      </c>
      <c r="L185" s="30">
        <v>47</v>
      </c>
      <c r="M185" s="30">
        <v>65</v>
      </c>
      <c r="N185" s="30">
        <v>71</v>
      </c>
      <c r="O185" s="30">
        <v>68</v>
      </c>
      <c r="P185" s="30">
        <v>79</v>
      </c>
      <c r="Q185" s="30">
        <v>79</v>
      </c>
    </row>
    <row r="186" spans="2:17" ht="18.75">
      <c r="B186" s="58" t="s">
        <v>103</v>
      </c>
      <c r="C186" s="51" t="s">
        <v>96</v>
      </c>
      <c r="D186" s="30">
        <v>33.503999999999998</v>
      </c>
      <c r="E186" s="30">
        <v>16.59</v>
      </c>
      <c r="F186" s="30">
        <v>24.1</v>
      </c>
      <c r="G186" s="104">
        <v>6.4</v>
      </c>
      <c r="H186" s="30">
        <v>32</v>
      </c>
      <c r="I186" s="30">
        <v>18</v>
      </c>
      <c r="J186" s="30">
        <v>22</v>
      </c>
      <c r="K186" s="30">
        <v>25</v>
      </c>
      <c r="L186" s="30">
        <v>20</v>
      </c>
      <c r="M186" s="30">
        <v>22</v>
      </c>
      <c r="N186" s="30">
        <v>25</v>
      </c>
      <c r="O186" s="30">
        <v>22</v>
      </c>
      <c r="P186" s="30">
        <v>24</v>
      </c>
      <c r="Q186" s="30">
        <v>24</v>
      </c>
    </row>
    <row r="187" spans="2:17" ht="18.75">
      <c r="B187" s="58" t="s">
        <v>104</v>
      </c>
      <c r="C187" s="51" t="s">
        <v>96</v>
      </c>
      <c r="D187" s="30">
        <v>19.2</v>
      </c>
      <c r="E187" s="30">
        <v>19.510000000000002</v>
      </c>
      <c r="F187" s="30">
        <v>25</v>
      </c>
      <c r="G187" s="104">
        <v>5.7</v>
      </c>
      <c r="H187" s="30">
        <v>28</v>
      </c>
      <c r="I187" s="30">
        <v>25</v>
      </c>
      <c r="J187" s="30">
        <v>27</v>
      </c>
      <c r="K187" s="30">
        <v>29</v>
      </c>
      <c r="L187" s="30">
        <v>26.5</v>
      </c>
      <c r="M187" s="30">
        <v>28.7</v>
      </c>
      <c r="N187" s="30">
        <v>34.5</v>
      </c>
      <c r="O187" s="30">
        <v>29</v>
      </c>
      <c r="P187" s="30">
        <v>35</v>
      </c>
      <c r="Q187" s="30">
        <v>35</v>
      </c>
    </row>
    <row r="188" spans="2:17" ht="18.75">
      <c r="B188" s="47" t="s">
        <v>105</v>
      </c>
      <c r="C188" s="51" t="s">
        <v>96</v>
      </c>
      <c r="D188" s="30">
        <f>D179-D183</f>
        <v>0.37800000000000722</v>
      </c>
      <c r="E188" s="30">
        <f>E179-E183</f>
        <v>0.79999999999999716</v>
      </c>
      <c r="F188" s="30">
        <v>1.5</v>
      </c>
      <c r="G188" s="104"/>
      <c r="H188" s="30">
        <v>2.2000000000000002</v>
      </c>
      <c r="I188" s="30">
        <v>5</v>
      </c>
      <c r="J188" s="30">
        <v>8.1999999999999993</v>
      </c>
      <c r="K188" s="30">
        <v>8.5</v>
      </c>
      <c r="L188" s="30">
        <v>2.5</v>
      </c>
      <c r="M188" s="30">
        <v>6</v>
      </c>
      <c r="N188" s="30">
        <v>9</v>
      </c>
      <c r="O188" s="30">
        <v>2</v>
      </c>
      <c r="P188" s="30">
        <v>5</v>
      </c>
      <c r="Q188" s="30">
        <v>8</v>
      </c>
    </row>
    <row r="189" spans="2:17" ht="18.75">
      <c r="B189" s="45" t="s">
        <v>230</v>
      </c>
      <c r="C189" s="51"/>
      <c r="D189" s="30"/>
      <c r="E189" s="30"/>
      <c r="F189" s="30"/>
      <c r="G189" s="104"/>
      <c r="H189" s="30"/>
      <c r="I189" s="30"/>
      <c r="J189" s="30"/>
      <c r="K189" s="30"/>
      <c r="L189" s="30"/>
      <c r="M189" s="30"/>
      <c r="N189" s="30"/>
      <c r="O189" s="30"/>
      <c r="P189" s="30"/>
      <c r="Q189" s="30"/>
    </row>
    <row r="190" spans="2:17" ht="56.25">
      <c r="B190" s="58" t="s">
        <v>72</v>
      </c>
      <c r="C190" s="64" t="s">
        <v>64</v>
      </c>
      <c r="D190" s="31">
        <v>446.8</v>
      </c>
      <c r="E190" s="78">
        <v>495.13</v>
      </c>
      <c r="F190" s="78">
        <v>579.46900000000005</v>
      </c>
      <c r="G190" s="103">
        <v>670.2</v>
      </c>
      <c r="H190" s="118">
        <f>ROUND(G190*H191*H192/10000, 1)</f>
        <v>741.6</v>
      </c>
      <c r="I190" s="118">
        <f>ROUND(H190*I191*I192/10000, 1)</f>
        <v>795.8</v>
      </c>
      <c r="J190" s="118">
        <f>ROUND(H190*J191*J192/10000, 1)</f>
        <v>809.8</v>
      </c>
      <c r="K190" s="118">
        <f t="shared" ref="K190:Q190" si="28">ROUND(H190*K191*K192/10000, 1)</f>
        <v>814.5</v>
      </c>
      <c r="L190" s="118">
        <f t="shared" si="28"/>
        <v>848.3</v>
      </c>
      <c r="M190" s="118">
        <f t="shared" si="28"/>
        <v>870.8</v>
      </c>
      <c r="N190" s="118">
        <f t="shared" si="28"/>
        <v>876.7</v>
      </c>
      <c r="O190" s="118">
        <f t="shared" si="28"/>
        <v>900.7</v>
      </c>
      <c r="P190" s="118">
        <f t="shared" si="28"/>
        <v>931</v>
      </c>
      <c r="Q190" s="118">
        <f t="shared" si="28"/>
        <v>941.8</v>
      </c>
    </row>
    <row r="191" spans="2:17" ht="56.25">
      <c r="B191" s="58" t="s">
        <v>72</v>
      </c>
      <c r="C191" s="64" t="s">
        <v>66</v>
      </c>
      <c r="D191" s="30">
        <v>109.4</v>
      </c>
      <c r="E191" s="31">
        <f>E190/D190/E192*10000</f>
        <v>106.4523730281382</v>
      </c>
      <c r="F191" s="31">
        <v>109.9</v>
      </c>
      <c r="G191" s="104">
        <v>100.4</v>
      </c>
      <c r="H191" s="30">
        <v>106.2</v>
      </c>
      <c r="I191" s="30">
        <v>102.1</v>
      </c>
      <c r="J191" s="30">
        <v>103.5</v>
      </c>
      <c r="K191" s="30">
        <v>104.1</v>
      </c>
      <c r="L191" s="30">
        <v>102.3</v>
      </c>
      <c r="M191" s="30">
        <v>103.1</v>
      </c>
      <c r="N191" s="30">
        <v>103.2</v>
      </c>
      <c r="O191" s="30">
        <v>101.8</v>
      </c>
      <c r="P191" s="30">
        <v>102.5</v>
      </c>
      <c r="Q191" s="30">
        <v>103</v>
      </c>
    </row>
    <row r="192" spans="2:17" ht="37.5">
      <c r="B192" s="47" t="s">
        <v>73</v>
      </c>
      <c r="C192" s="51" t="s">
        <v>115</v>
      </c>
      <c r="D192" s="30">
        <v>100</v>
      </c>
      <c r="E192" s="30">
        <v>104.1</v>
      </c>
      <c r="F192" s="30">
        <v>108</v>
      </c>
      <c r="G192" s="123">
        <v>115.4</v>
      </c>
      <c r="H192" s="123">
        <v>104.2</v>
      </c>
      <c r="I192" s="123">
        <v>105.1</v>
      </c>
      <c r="J192" s="123">
        <v>105.5</v>
      </c>
      <c r="K192" s="123">
        <v>105.5</v>
      </c>
      <c r="L192" s="123">
        <v>104.2</v>
      </c>
      <c r="M192" s="123">
        <v>104.3</v>
      </c>
      <c r="N192" s="123">
        <v>104.3</v>
      </c>
      <c r="O192" s="123">
        <v>104.3</v>
      </c>
      <c r="P192" s="123">
        <v>104.3</v>
      </c>
      <c r="Q192" s="123">
        <v>104.3</v>
      </c>
    </row>
    <row r="193" spans="2:17" ht="18.75">
      <c r="B193" s="47" t="s">
        <v>74</v>
      </c>
      <c r="C193" s="51" t="s">
        <v>116</v>
      </c>
      <c r="D193" s="30">
        <v>7.4</v>
      </c>
      <c r="E193" s="30">
        <v>3.9710000000000001</v>
      </c>
      <c r="F193" s="30">
        <v>7.4450000000000003</v>
      </c>
      <c r="G193" s="103">
        <v>7.8</v>
      </c>
      <c r="H193" s="118">
        <v>8</v>
      </c>
      <c r="I193" s="118">
        <f>ROUND(H193*I194*I195/10000,1)</f>
        <v>8.1999999999999993</v>
      </c>
      <c r="J193" s="118">
        <f>ROUND(H193*J194*J195/10000,1)</f>
        <v>8.4</v>
      </c>
      <c r="K193" s="118">
        <f t="shared" ref="K193:Q193" si="29">ROUND(H193*K194*K195/10000,1)</f>
        <v>8.4</v>
      </c>
      <c r="L193" s="118">
        <f t="shared" si="29"/>
        <v>8.6999999999999993</v>
      </c>
      <c r="M193" s="118">
        <f t="shared" si="29"/>
        <v>9.1</v>
      </c>
      <c r="N193" s="118">
        <f t="shared" si="29"/>
        <v>9.1</v>
      </c>
      <c r="O193" s="118">
        <f t="shared" si="29"/>
        <v>9.3000000000000007</v>
      </c>
      <c r="P193" s="118">
        <f t="shared" si="29"/>
        <v>10</v>
      </c>
      <c r="Q193" s="118">
        <f t="shared" si="29"/>
        <v>10</v>
      </c>
    </row>
    <row r="194" spans="2:17" ht="56.25">
      <c r="B194" s="47" t="s">
        <v>74</v>
      </c>
      <c r="C194" s="51" t="s">
        <v>66</v>
      </c>
      <c r="D194" s="30">
        <v>64.7</v>
      </c>
      <c r="E194" s="30">
        <f>E193/D193/E195*10000</f>
        <v>51.548666822442037</v>
      </c>
      <c r="F194" s="30">
        <v>176.9</v>
      </c>
      <c r="G194" s="104">
        <v>94</v>
      </c>
      <c r="H194" s="30">
        <f>H193/F193/H195*10000</f>
        <v>101.61197878214867</v>
      </c>
      <c r="I194" s="30">
        <v>99</v>
      </c>
      <c r="J194" s="30">
        <v>101</v>
      </c>
      <c r="K194" s="30">
        <v>101</v>
      </c>
      <c r="L194" s="30">
        <v>102</v>
      </c>
      <c r="M194" s="30">
        <v>103.7</v>
      </c>
      <c r="N194" s="30">
        <v>103.7</v>
      </c>
      <c r="O194" s="30">
        <v>103</v>
      </c>
      <c r="P194" s="30">
        <v>105.8</v>
      </c>
      <c r="Q194" s="30">
        <v>105.8</v>
      </c>
    </row>
    <row r="195" spans="2:17" ht="56.25">
      <c r="B195" s="47" t="s">
        <v>120</v>
      </c>
      <c r="C195" s="51" t="s">
        <v>71</v>
      </c>
      <c r="D195" s="30">
        <v>100</v>
      </c>
      <c r="E195" s="30">
        <v>104.1</v>
      </c>
      <c r="F195" s="30">
        <v>106.8</v>
      </c>
      <c r="G195" s="123">
        <v>108.1</v>
      </c>
      <c r="H195" s="123">
        <v>105.75</v>
      </c>
      <c r="I195" s="123">
        <v>104.1</v>
      </c>
      <c r="J195" s="123">
        <v>103.7</v>
      </c>
      <c r="K195" s="123">
        <v>103.7</v>
      </c>
      <c r="L195" s="123">
        <v>104.2</v>
      </c>
      <c r="M195" s="123">
        <v>103.9</v>
      </c>
      <c r="N195" s="123">
        <v>103.9</v>
      </c>
      <c r="O195" s="123">
        <v>104.1</v>
      </c>
      <c r="P195" s="123">
        <v>104</v>
      </c>
      <c r="Q195" s="123">
        <v>104</v>
      </c>
    </row>
    <row r="196" spans="2:17" ht="18.75">
      <c r="B196" s="65" t="s">
        <v>75</v>
      </c>
      <c r="C196" s="64"/>
      <c r="D196" s="30"/>
      <c r="E196" s="30"/>
      <c r="F196" s="30"/>
      <c r="G196" s="104"/>
      <c r="H196" s="30"/>
      <c r="I196" s="30"/>
      <c r="J196" s="30"/>
      <c r="K196" s="30"/>
      <c r="L196" s="30"/>
      <c r="M196" s="30"/>
      <c r="N196" s="30"/>
      <c r="O196" s="30"/>
      <c r="P196" s="30"/>
      <c r="Q196" s="30"/>
    </row>
    <row r="197" spans="2:17" ht="56.25">
      <c r="B197" s="58" t="s">
        <v>76</v>
      </c>
      <c r="C197" s="59" t="s">
        <v>64</v>
      </c>
      <c r="D197" s="66">
        <f>D190-D198</f>
        <v>445.7</v>
      </c>
      <c r="E197" s="95">
        <f t="shared" ref="E197:Q197" si="30">E190-E198</f>
        <v>494.23</v>
      </c>
      <c r="F197" s="95">
        <f t="shared" si="30"/>
        <v>578.91200000000003</v>
      </c>
      <c r="G197" s="111">
        <v>580</v>
      </c>
      <c r="H197" s="126">
        <f t="shared" si="30"/>
        <v>741.1</v>
      </c>
      <c r="I197" s="126">
        <f t="shared" si="30"/>
        <v>795.3</v>
      </c>
      <c r="J197" s="126">
        <f t="shared" si="30"/>
        <v>809</v>
      </c>
      <c r="K197" s="126">
        <f t="shared" si="30"/>
        <v>813.7</v>
      </c>
      <c r="L197" s="126">
        <f t="shared" si="30"/>
        <v>847.59999999999991</v>
      </c>
      <c r="M197" s="126">
        <f t="shared" si="30"/>
        <v>869.69999999999993</v>
      </c>
      <c r="N197" s="126">
        <f t="shared" si="30"/>
        <v>875.6</v>
      </c>
      <c r="O197" s="126">
        <f t="shared" si="30"/>
        <v>899.7</v>
      </c>
      <c r="P197" s="126">
        <f t="shared" si="30"/>
        <v>929.5</v>
      </c>
      <c r="Q197" s="126">
        <f t="shared" si="30"/>
        <v>940.3</v>
      </c>
    </row>
    <row r="198" spans="2:17" ht="56.25">
      <c r="B198" s="58" t="s">
        <v>77</v>
      </c>
      <c r="C198" s="59" t="s">
        <v>64</v>
      </c>
      <c r="D198" s="67">
        <v>1.1000000000000001</v>
      </c>
      <c r="E198" s="67">
        <v>0.9</v>
      </c>
      <c r="F198" s="67">
        <v>0.55700000000000005</v>
      </c>
      <c r="G198" s="112">
        <v>0.5</v>
      </c>
      <c r="H198" s="67">
        <v>0.5</v>
      </c>
      <c r="I198" s="67">
        <v>0.5</v>
      </c>
      <c r="J198" s="67">
        <v>0.8</v>
      </c>
      <c r="K198" s="67">
        <v>0.8</v>
      </c>
      <c r="L198" s="67">
        <v>0.7</v>
      </c>
      <c r="M198" s="67">
        <v>1.1000000000000001</v>
      </c>
      <c r="N198" s="67">
        <v>1.1000000000000001</v>
      </c>
      <c r="O198" s="67">
        <v>1</v>
      </c>
      <c r="P198" s="67">
        <v>1.5</v>
      </c>
      <c r="Q198" s="67">
        <v>1.5</v>
      </c>
    </row>
    <row r="199" spans="2:17" ht="18.75" hidden="1">
      <c r="B199" s="58" t="s">
        <v>78</v>
      </c>
      <c r="C199" s="64" t="s">
        <v>1</v>
      </c>
      <c r="D199" s="30"/>
      <c r="E199" s="30"/>
      <c r="F199" s="30"/>
      <c r="G199" s="104"/>
      <c r="H199" s="30"/>
      <c r="I199" s="30"/>
      <c r="J199" s="30"/>
      <c r="K199" s="30"/>
      <c r="L199" s="30"/>
      <c r="M199" s="30"/>
      <c r="N199" s="30"/>
      <c r="O199" s="30"/>
      <c r="P199" s="30"/>
      <c r="Q199" s="30"/>
    </row>
    <row r="200" spans="2:17" ht="37.5" hidden="1">
      <c r="B200" s="58" t="s">
        <v>78</v>
      </c>
      <c r="C200" s="64" t="s">
        <v>79</v>
      </c>
      <c r="D200" s="30"/>
      <c r="E200" s="30"/>
      <c r="F200" s="30"/>
      <c r="G200" s="104"/>
      <c r="H200" s="30"/>
      <c r="I200" s="30"/>
      <c r="J200" s="30"/>
      <c r="K200" s="30"/>
      <c r="L200" s="30"/>
      <c r="M200" s="30"/>
      <c r="N200" s="30"/>
      <c r="O200" s="30"/>
      <c r="P200" s="30"/>
      <c r="Q200" s="30"/>
    </row>
    <row r="201" spans="2:17" ht="18.75">
      <c r="B201" s="65" t="s">
        <v>80</v>
      </c>
      <c r="C201" s="59"/>
      <c r="D201" s="30"/>
      <c r="E201" s="30"/>
      <c r="F201" s="30"/>
      <c r="G201" s="104"/>
      <c r="H201" s="30"/>
      <c r="I201" s="30"/>
      <c r="J201" s="30"/>
      <c r="K201" s="30"/>
      <c r="L201" s="30"/>
      <c r="M201" s="30"/>
      <c r="N201" s="30"/>
      <c r="O201" s="30"/>
      <c r="P201" s="30"/>
      <c r="Q201" s="30"/>
    </row>
    <row r="202" spans="2:17" ht="112.5" hidden="1">
      <c r="B202" s="58" t="s">
        <v>81</v>
      </c>
      <c r="C202" s="64" t="s">
        <v>82</v>
      </c>
      <c r="D202" s="30"/>
      <c r="E202" s="30"/>
      <c r="F202" s="30"/>
      <c r="G202" s="104"/>
      <c r="H202" s="30"/>
      <c r="I202" s="30"/>
      <c r="J202" s="30"/>
      <c r="K202" s="30"/>
      <c r="L202" s="30"/>
      <c r="M202" s="30"/>
      <c r="N202" s="30"/>
      <c r="O202" s="30"/>
      <c r="P202" s="30"/>
      <c r="Q202" s="30"/>
    </row>
    <row r="203" spans="2:17" ht="112.5" hidden="1">
      <c r="B203" s="58" t="s">
        <v>83</v>
      </c>
      <c r="C203" s="64" t="s">
        <v>82</v>
      </c>
      <c r="D203" s="30"/>
      <c r="E203" s="30"/>
      <c r="F203" s="30"/>
      <c r="G203" s="104"/>
      <c r="H203" s="30"/>
      <c r="I203" s="30"/>
      <c r="J203" s="30"/>
      <c r="K203" s="30"/>
      <c r="L203" s="30"/>
      <c r="M203" s="30"/>
      <c r="N203" s="30"/>
      <c r="O203" s="30"/>
      <c r="P203" s="30"/>
      <c r="Q203" s="30"/>
    </row>
    <row r="204" spans="2:17" ht="18.75">
      <c r="B204" s="58" t="s">
        <v>84</v>
      </c>
      <c r="C204" s="64" t="s">
        <v>1</v>
      </c>
      <c r="D204" s="30">
        <v>97.3</v>
      </c>
      <c r="E204" s="30">
        <v>110.1</v>
      </c>
      <c r="F204" s="30">
        <v>125.8</v>
      </c>
      <c r="G204" s="103">
        <v>132.19999999999999</v>
      </c>
      <c r="H204" s="31">
        <v>139.19999999999999</v>
      </c>
      <c r="I204" s="118">
        <f>ROUND(H204*I205*I206/10000, 1)</f>
        <v>146.80000000000001</v>
      </c>
      <c r="J204" s="118">
        <f>ROUND(H204*J205*J206/10000, 1)</f>
        <v>149.19999999999999</v>
      </c>
      <c r="K204" s="118">
        <f t="shared" ref="K204:Q204" si="31">ROUND(H204*K205*K206/10000, 1)</f>
        <v>149.5</v>
      </c>
      <c r="L204" s="118">
        <f t="shared" si="31"/>
        <v>155.4</v>
      </c>
      <c r="M204" s="118">
        <f t="shared" si="31"/>
        <v>159.80000000000001</v>
      </c>
      <c r="N204" s="118">
        <f t="shared" si="31"/>
        <v>160.80000000000001</v>
      </c>
      <c r="O204" s="118">
        <f t="shared" si="31"/>
        <v>164</v>
      </c>
      <c r="P204" s="118">
        <f t="shared" si="31"/>
        <v>170.2</v>
      </c>
      <c r="Q204" s="118">
        <f t="shared" si="31"/>
        <v>171.9</v>
      </c>
    </row>
    <row r="205" spans="2:17" ht="56.25">
      <c r="B205" s="58" t="s">
        <v>84</v>
      </c>
      <c r="C205" s="51" t="s">
        <v>66</v>
      </c>
      <c r="D205" s="30">
        <v>95.5</v>
      </c>
      <c r="E205" s="30">
        <f>E204/D204/E206*10000</f>
        <v>109.64650206744902</v>
      </c>
      <c r="F205" s="30">
        <f>F204/E204/F206*10000</f>
        <v>109.54915038451055</v>
      </c>
      <c r="G205" s="104">
        <v>96.8</v>
      </c>
      <c r="H205" s="30">
        <f>H204/F204/H206*10000</f>
        <v>100.68410218279082</v>
      </c>
      <c r="I205" s="30">
        <v>101.1</v>
      </c>
      <c r="J205" s="30">
        <v>102.3</v>
      </c>
      <c r="K205" s="30">
        <v>102.5</v>
      </c>
      <c r="L205" s="30">
        <v>101.5</v>
      </c>
      <c r="M205" s="30">
        <v>102.6</v>
      </c>
      <c r="N205" s="30">
        <v>103</v>
      </c>
      <c r="O205" s="30">
        <v>101.2</v>
      </c>
      <c r="P205" s="30">
        <v>102</v>
      </c>
      <c r="Q205" s="30">
        <v>102.4</v>
      </c>
    </row>
    <row r="206" spans="2:17" ht="37.5">
      <c r="B206" s="47" t="s">
        <v>85</v>
      </c>
      <c r="C206" s="51" t="s">
        <v>115</v>
      </c>
      <c r="D206" s="30">
        <v>106.5</v>
      </c>
      <c r="E206" s="30">
        <v>103.2</v>
      </c>
      <c r="F206" s="30">
        <v>104.3</v>
      </c>
      <c r="G206" s="123">
        <v>108</v>
      </c>
      <c r="H206" s="123">
        <v>109.9</v>
      </c>
      <c r="I206" s="123">
        <v>104.3</v>
      </c>
      <c r="J206" s="123">
        <v>104.8</v>
      </c>
      <c r="K206" s="123">
        <v>104.8</v>
      </c>
      <c r="L206" s="123">
        <v>104.3</v>
      </c>
      <c r="M206" s="123">
        <v>104.4</v>
      </c>
      <c r="N206" s="123">
        <v>104.4</v>
      </c>
      <c r="O206" s="123">
        <v>104.3</v>
      </c>
      <c r="P206" s="123">
        <v>104.4</v>
      </c>
      <c r="Q206" s="123">
        <v>104.4</v>
      </c>
    </row>
    <row r="207" spans="2:17" ht="37.5">
      <c r="B207" s="45" t="s">
        <v>231</v>
      </c>
      <c r="C207" s="56"/>
      <c r="D207" s="68"/>
      <c r="E207" s="68"/>
      <c r="F207" s="68"/>
      <c r="G207" s="113"/>
      <c r="H207" s="68"/>
      <c r="I207" s="68"/>
      <c r="J207" s="68"/>
      <c r="K207" s="68"/>
      <c r="L207" s="68"/>
      <c r="M207" s="68"/>
      <c r="N207" s="68"/>
      <c r="O207" s="68"/>
      <c r="P207" s="68"/>
      <c r="Q207" s="69"/>
    </row>
    <row r="208" spans="2:17" ht="37.5">
      <c r="B208" s="47" t="s">
        <v>121</v>
      </c>
      <c r="C208" s="51" t="s">
        <v>86</v>
      </c>
      <c r="D208" s="30">
        <v>256</v>
      </c>
      <c r="E208" s="85">
        <v>242</v>
      </c>
      <c r="F208" s="85">
        <v>233</v>
      </c>
      <c r="G208" s="114">
        <v>230</v>
      </c>
      <c r="H208" s="85">
        <f>46+183</f>
        <v>229</v>
      </c>
      <c r="I208" s="85">
        <v>226</v>
      </c>
      <c r="J208" s="85">
        <v>231</v>
      </c>
      <c r="K208" s="85">
        <v>232</v>
      </c>
      <c r="L208" s="85">
        <v>224</v>
      </c>
      <c r="M208" s="85">
        <v>232</v>
      </c>
      <c r="N208" s="85">
        <v>233</v>
      </c>
      <c r="O208" s="85">
        <v>222</v>
      </c>
      <c r="P208" s="85">
        <v>233</v>
      </c>
      <c r="Q208" s="85">
        <v>234</v>
      </c>
    </row>
    <row r="209" spans="2:38" ht="37.5">
      <c r="B209" s="47" t="s">
        <v>123</v>
      </c>
      <c r="C209" s="59" t="s">
        <v>87</v>
      </c>
      <c r="D209" s="30">
        <v>0.9</v>
      </c>
      <c r="E209" s="98">
        <v>1.9</v>
      </c>
      <c r="F209" s="98">
        <v>1.8660000000000001</v>
      </c>
      <c r="G209" s="104">
        <v>1.9</v>
      </c>
      <c r="H209" s="98">
        <v>1.8520000000000001</v>
      </c>
      <c r="I209" s="98">
        <v>1.8</v>
      </c>
      <c r="J209" s="98">
        <v>1.8</v>
      </c>
      <c r="K209" s="98">
        <v>1.8</v>
      </c>
      <c r="L209" s="98">
        <v>1.8</v>
      </c>
      <c r="M209" s="98">
        <v>1.8</v>
      </c>
      <c r="N209" s="98">
        <v>1.8</v>
      </c>
      <c r="O209" s="98">
        <v>1.8</v>
      </c>
      <c r="P209" s="98">
        <v>1.8</v>
      </c>
      <c r="Q209" s="98">
        <v>1.8</v>
      </c>
    </row>
    <row r="210" spans="2:38" ht="18.75">
      <c r="B210" s="47" t="s">
        <v>122</v>
      </c>
      <c r="C210" s="51" t="s">
        <v>88</v>
      </c>
      <c r="D210" s="30">
        <v>1</v>
      </c>
      <c r="E210" s="98">
        <v>1.580252</v>
      </c>
      <c r="F210" s="98">
        <v>1.7948662</v>
      </c>
      <c r="G210" s="104">
        <v>1.8</v>
      </c>
      <c r="H210" s="98">
        <v>1.8</v>
      </c>
      <c r="I210" s="98">
        <v>1.8</v>
      </c>
      <c r="J210" s="98">
        <v>1.8</v>
      </c>
      <c r="K210" s="98">
        <v>1.8</v>
      </c>
      <c r="L210" s="98">
        <v>1.8</v>
      </c>
      <c r="M210" s="98">
        <v>1.8</v>
      </c>
      <c r="N210" s="98">
        <v>1.8</v>
      </c>
      <c r="O210" s="98">
        <v>1.8</v>
      </c>
      <c r="P210" s="98">
        <v>1.8</v>
      </c>
      <c r="Q210" s="98">
        <v>1.8</v>
      </c>
    </row>
    <row r="211" spans="2:38" ht="18.75">
      <c r="B211" s="48" t="s">
        <v>232</v>
      </c>
      <c r="C211" s="7"/>
      <c r="D211" s="30"/>
      <c r="E211" s="30"/>
      <c r="F211" s="30"/>
      <c r="G211" s="104"/>
      <c r="H211" s="30"/>
      <c r="I211" s="30"/>
      <c r="J211" s="30"/>
      <c r="K211" s="30"/>
      <c r="L211" s="30"/>
      <c r="M211" s="30"/>
      <c r="N211" s="30"/>
      <c r="O211" s="30"/>
      <c r="P211" s="30"/>
      <c r="Q211" s="30"/>
    </row>
    <row r="212" spans="2:38" ht="18.75">
      <c r="B212" s="6" t="s">
        <v>222</v>
      </c>
      <c r="C212" s="51" t="s">
        <v>1</v>
      </c>
      <c r="D212" s="55">
        <v>89</v>
      </c>
      <c r="E212" s="100">
        <v>145.767</v>
      </c>
      <c r="F212" s="100">
        <v>136.13200000000001</v>
      </c>
      <c r="G212" s="115">
        <v>142.19999999999999</v>
      </c>
      <c r="H212" s="55">
        <f>F212*98%</f>
        <v>133.40935999999999</v>
      </c>
      <c r="I212" s="55">
        <f>H212*97%</f>
        <v>129.4070792</v>
      </c>
      <c r="J212" s="55">
        <f>H212*102%</f>
        <v>136.0775472</v>
      </c>
      <c r="K212" s="55">
        <f>H212*102.5%</f>
        <v>136.74459399999998</v>
      </c>
      <c r="L212" s="55">
        <f>I212*101%</f>
        <v>130.70114999200001</v>
      </c>
      <c r="M212" s="55">
        <f>J212*102.5%</f>
        <v>139.47948588</v>
      </c>
      <c r="N212" s="55">
        <f>K212*102.5%</f>
        <v>140.16320884999996</v>
      </c>
      <c r="O212" s="55">
        <f>L212*99.8%</f>
        <v>130.439747692016</v>
      </c>
      <c r="P212" s="55">
        <v>154.19999999999999</v>
      </c>
      <c r="Q212" s="55">
        <v>154.19999999999999</v>
      </c>
    </row>
    <row r="213" spans="2:38" ht="18.75">
      <c r="B213" s="70" t="s">
        <v>223</v>
      </c>
      <c r="C213" s="51" t="s">
        <v>1</v>
      </c>
      <c r="D213" s="55">
        <v>78</v>
      </c>
      <c r="E213" s="100">
        <v>61.997</v>
      </c>
      <c r="F213" s="100">
        <v>128.74199999999999</v>
      </c>
      <c r="G213" s="115">
        <v>84</v>
      </c>
      <c r="H213" s="55">
        <v>81</v>
      </c>
      <c r="I213" s="55">
        <f>H213*99%</f>
        <v>80.19</v>
      </c>
      <c r="J213" s="55">
        <f>H213*102%</f>
        <v>82.62</v>
      </c>
      <c r="K213" s="55">
        <f>H213*102.5%</f>
        <v>83.024999999999991</v>
      </c>
      <c r="L213" s="55">
        <f>I213*101%</f>
        <v>80.991900000000001</v>
      </c>
      <c r="M213" s="55">
        <f>J213*102.5%</f>
        <v>84.68549999999999</v>
      </c>
      <c r="N213" s="55">
        <f>H213*103%</f>
        <v>83.43</v>
      </c>
      <c r="O213" s="55">
        <f>L213*101%</f>
        <v>81.801819000000009</v>
      </c>
      <c r="P213" s="55">
        <f>M213*102.5%</f>
        <v>86.802637499999989</v>
      </c>
      <c r="Q213" s="55">
        <f>N213*103%</f>
        <v>85.932900000000004</v>
      </c>
    </row>
    <row r="214" spans="2:38" ht="18.75">
      <c r="B214" s="45" t="s">
        <v>250</v>
      </c>
      <c r="C214" s="56"/>
      <c r="D214" s="68"/>
      <c r="E214" s="68"/>
      <c r="F214" s="68"/>
      <c r="G214" s="113"/>
      <c r="H214" s="68"/>
      <c r="I214" s="68"/>
      <c r="J214" s="68"/>
      <c r="K214" s="68"/>
      <c r="L214" s="68"/>
      <c r="M214" s="68"/>
      <c r="N214" s="68"/>
      <c r="O214" s="68"/>
      <c r="P214" s="68"/>
      <c r="Q214" s="68"/>
    </row>
    <row r="215" spans="2:38" ht="18.75">
      <c r="B215" s="50" t="s">
        <v>238</v>
      </c>
      <c r="C215" s="7" t="s">
        <v>239</v>
      </c>
      <c r="D215" s="30">
        <v>11.9</v>
      </c>
      <c r="E215" s="30">
        <v>11.763</v>
      </c>
      <c r="F215" s="30">
        <v>11.566000000000001</v>
      </c>
      <c r="G215" s="104">
        <v>12.1</v>
      </c>
      <c r="H215" s="30">
        <v>12.065</v>
      </c>
      <c r="I215" s="30">
        <v>12.1</v>
      </c>
      <c r="J215" s="30">
        <v>12.1</v>
      </c>
      <c r="K215" s="30">
        <v>11.5</v>
      </c>
      <c r="L215" s="30">
        <v>11.3</v>
      </c>
      <c r="M215" s="30">
        <v>11.4</v>
      </c>
      <c r="N215" s="30">
        <v>11.5</v>
      </c>
      <c r="O215" s="30">
        <v>11.3</v>
      </c>
      <c r="P215" s="30">
        <v>11.4</v>
      </c>
      <c r="Q215" s="30">
        <v>11.5</v>
      </c>
    </row>
    <row r="216" spans="2:38" ht="18.75">
      <c r="B216" s="71" t="s">
        <v>240</v>
      </c>
      <c r="C216" s="7" t="s">
        <v>239</v>
      </c>
      <c r="D216" s="30">
        <v>5.6</v>
      </c>
      <c r="E216" s="30">
        <v>5.5810000000000004</v>
      </c>
      <c r="F216" s="30">
        <v>5.5</v>
      </c>
      <c r="G216" s="104">
        <v>5.5</v>
      </c>
      <c r="H216" s="30">
        <v>5.5</v>
      </c>
      <c r="I216" s="30">
        <v>5.4</v>
      </c>
      <c r="J216" s="30">
        <v>5.5</v>
      </c>
      <c r="K216" s="30">
        <v>5.5</v>
      </c>
      <c r="L216" s="30">
        <v>5.4</v>
      </c>
      <c r="M216" s="30">
        <v>5.5</v>
      </c>
      <c r="N216" s="30">
        <v>5.5</v>
      </c>
      <c r="O216" s="30">
        <v>5.4</v>
      </c>
      <c r="P216" s="30">
        <v>5.5</v>
      </c>
      <c r="Q216" s="30">
        <v>5.5</v>
      </c>
    </row>
    <row r="217" spans="2:38" ht="18.75">
      <c r="B217" s="72" t="s">
        <v>241</v>
      </c>
      <c r="C217" s="7" t="s">
        <v>239</v>
      </c>
      <c r="D217" s="30">
        <v>3.593</v>
      </c>
      <c r="E217" s="30">
        <v>3.617</v>
      </c>
      <c r="F217" s="30">
        <v>3.593</v>
      </c>
      <c r="G217" s="104">
        <v>3.6</v>
      </c>
      <c r="H217" s="30">
        <v>3.593</v>
      </c>
      <c r="I217" s="30">
        <v>3.593</v>
      </c>
      <c r="J217" s="30">
        <v>3.593</v>
      </c>
      <c r="K217" s="30">
        <v>3.593</v>
      </c>
      <c r="L217" s="30">
        <v>3.593</v>
      </c>
      <c r="M217" s="30">
        <v>3.593</v>
      </c>
      <c r="N217" s="30">
        <v>3.593</v>
      </c>
      <c r="O217" s="30">
        <v>3.593</v>
      </c>
      <c r="P217" s="30">
        <v>3.593</v>
      </c>
      <c r="Q217" s="30">
        <v>3.593</v>
      </c>
    </row>
    <row r="218" spans="2:38" ht="56.25">
      <c r="B218" s="50" t="s">
        <v>242</v>
      </c>
      <c r="C218" s="7" t="s">
        <v>243</v>
      </c>
      <c r="D218" s="30">
        <f>119/11814*1000</f>
        <v>10.072794988996106</v>
      </c>
      <c r="E218" s="31">
        <f>138/11763*1000</f>
        <v>11.731701096659014</v>
      </c>
      <c r="F218" s="31">
        <f>108/11566*1000</f>
        <v>9.3377139892789209</v>
      </c>
      <c r="G218" s="103">
        <v>10.4</v>
      </c>
      <c r="H218" s="31">
        <f>125/11566*1000</f>
        <v>10.807539339443196</v>
      </c>
      <c r="I218" s="30">
        <v>10.5</v>
      </c>
      <c r="J218" s="30">
        <v>11.2</v>
      </c>
      <c r="K218" s="30">
        <v>11.5</v>
      </c>
      <c r="L218" s="30">
        <v>10.6</v>
      </c>
      <c r="M218" s="30">
        <v>11.5</v>
      </c>
      <c r="N218" s="30">
        <v>12.1</v>
      </c>
      <c r="O218" s="30">
        <v>11.5</v>
      </c>
      <c r="P218" s="30">
        <v>12.2</v>
      </c>
      <c r="Q218" s="30">
        <v>12.5</v>
      </c>
    </row>
    <row r="219" spans="2:38" ht="56.25">
      <c r="B219" s="50" t="s">
        <v>244</v>
      </c>
      <c r="C219" s="7" t="s">
        <v>245</v>
      </c>
      <c r="D219" s="30">
        <f>205/11814*1000</f>
        <v>17.352293888606738</v>
      </c>
      <c r="E219" s="31">
        <f>207/11763*1000</f>
        <v>17.597551644988524</v>
      </c>
      <c r="F219" s="31">
        <f>249/11566*1000</f>
        <v>21.528618364170846</v>
      </c>
      <c r="G219" s="103">
        <v>16.600000000000001</v>
      </c>
      <c r="H219" s="31">
        <f>220/11566*1000</f>
        <v>19.021269237420025</v>
      </c>
      <c r="I219" s="31">
        <v>18.3</v>
      </c>
      <c r="J219" s="30">
        <v>18</v>
      </c>
      <c r="K219" s="30">
        <v>17.600000000000001</v>
      </c>
      <c r="L219" s="30">
        <v>18</v>
      </c>
      <c r="M219" s="30">
        <v>17.600000000000001</v>
      </c>
      <c r="N219" s="30">
        <v>17.3</v>
      </c>
      <c r="O219" s="30">
        <v>17.399999999999999</v>
      </c>
      <c r="P219" s="30">
        <v>17</v>
      </c>
      <c r="Q219" s="30">
        <v>16.5</v>
      </c>
    </row>
    <row r="220" spans="2:38" ht="37.5">
      <c r="B220" s="50" t="s">
        <v>246</v>
      </c>
      <c r="C220" s="7" t="s">
        <v>247</v>
      </c>
      <c r="D220" s="30">
        <v>-7.3</v>
      </c>
      <c r="E220" s="30">
        <v>-5.9</v>
      </c>
      <c r="F220" s="31">
        <f>F218-F219</f>
        <v>-12.190904374891925</v>
      </c>
      <c r="G220" s="103">
        <v>-6.2</v>
      </c>
      <c r="H220" s="31">
        <f>H218-H219</f>
        <v>-8.2137298979768296</v>
      </c>
      <c r="I220" s="31">
        <f t="shared" ref="I220:Q220" si="32">I218-I219</f>
        <v>-7.8000000000000007</v>
      </c>
      <c r="J220" s="31">
        <f t="shared" si="32"/>
        <v>-6.8000000000000007</v>
      </c>
      <c r="K220" s="31">
        <f t="shared" si="32"/>
        <v>-6.1000000000000014</v>
      </c>
      <c r="L220" s="31">
        <f t="shared" si="32"/>
        <v>-7.4</v>
      </c>
      <c r="M220" s="31">
        <f t="shared" si="32"/>
        <v>-6.1000000000000014</v>
      </c>
      <c r="N220" s="31">
        <f t="shared" si="32"/>
        <v>-5.2000000000000011</v>
      </c>
      <c r="O220" s="31">
        <f t="shared" si="32"/>
        <v>-5.8999999999999986</v>
      </c>
      <c r="P220" s="31">
        <f t="shared" si="32"/>
        <v>-4.8000000000000007</v>
      </c>
      <c r="Q220" s="31">
        <f t="shared" si="32"/>
        <v>-4</v>
      </c>
    </row>
    <row r="221" spans="2:38" ht="18.75">
      <c r="B221" s="50" t="s">
        <v>248</v>
      </c>
      <c r="C221" s="7" t="s">
        <v>249</v>
      </c>
      <c r="D221" s="30">
        <v>-0.1</v>
      </c>
      <c r="E221" s="46">
        <v>0.06</v>
      </c>
      <c r="F221" s="46">
        <v>-4.7E-2</v>
      </c>
      <c r="G221" s="102">
        <v>-0.01</v>
      </c>
      <c r="H221" s="46">
        <v>-0.01</v>
      </c>
      <c r="I221" s="46">
        <v>-0.05</v>
      </c>
      <c r="J221" s="46">
        <v>0.05</v>
      </c>
      <c r="K221" s="46">
        <v>0.05</v>
      </c>
      <c r="L221" s="46">
        <v>-0.04</v>
      </c>
      <c r="M221" s="46">
        <v>0.03</v>
      </c>
      <c r="N221" s="46">
        <v>0.04</v>
      </c>
      <c r="O221" s="46">
        <v>-0.03</v>
      </c>
      <c r="P221" s="46">
        <v>0.02</v>
      </c>
      <c r="Q221" s="46">
        <v>0.04</v>
      </c>
    </row>
    <row r="222" spans="2:38" ht="18.75">
      <c r="B222" s="48" t="s">
        <v>237</v>
      </c>
      <c r="C222" s="73"/>
      <c r="D222" s="7"/>
      <c r="E222" s="7"/>
      <c r="F222" s="7"/>
      <c r="G222" s="116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2:38" ht="37.5">
      <c r="B223" s="6" t="s">
        <v>261</v>
      </c>
      <c r="C223" s="7" t="s">
        <v>233</v>
      </c>
      <c r="D223" s="30">
        <v>40099.4</v>
      </c>
      <c r="E223" s="30">
        <v>43208.7</v>
      </c>
      <c r="F223" s="30">
        <v>45581.8</v>
      </c>
      <c r="G223" s="104">
        <v>50665.5</v>
      </c>
      <c r="H223" s="125">
        <f>G223*H224/100</f>
        <v>54566.743500000004</v>
      </c>
      <c r="I223" s="118">
        <f>H223*I224/100</f>
        <v>55658.078370000003</v>
      </c>
      <c r="J223" s="118">
        <f>H223*J224/100</f>
        <v>55821.778600500002</v>
      </c>
      <c r="K223" s="118">
        <f t="shared" ref="K223:Q223" si="33">H223*K224/100</f>
        <v>55930.912087500001</v>
      </c>
      <c r="L223" s="118">
        <f t="shared" si="33"/>
        <v>56882.556094140004</v>
      </c>
      <c r="M223" s="118">
        <f t="shared" si="33"/>
        <v>57217.323065512508</v>
      </c>
      <c r="N223" s="118">
        <f t="shared" si="33"/>
        <v>57496.977625949999</v>
      </c>
      <c r="O223" s="118">
        <f t="shared" si="33"/>
        <v>60124.86179150598</v>
      </c>
      <c r="P223" s="118">
        <f t="shared" si="33"/>
        <v>60822.014418639796</v>
      </c>
      <c r="Q223" s="118">
        <f t="shared" si="33"/>
        <v>61349.27512688865</v>
      </c>
    </row>
    <row r="224" spans="2:38" s="3" customFormat="1" ht="37.5">
      <c r="B224" s="6" t="s">
        <v>234</v>
      </c>
      <c r="C224" s="8" t="s">
        <v>235</v>
      </c>
      <c r="D224" s="30">
        <v>107.2</v>
      </c>
      <c r="E224" s="30">
        <f>E223/D223%</f>
        <v>107.7539813563295</v>
      </c>
      <c r="F224" s="31">
        <f>F223/E223%</f>
        <v>105.49218097281336</v>
      </c>
      <c r="G224" s="31">
        <f>G223/F223%</f>
        <v>111.152916295539</v>
      </c>
      <c r="H224" s="30">
        <v>107.7</v>
      </c>
      <c r="I224" s="30">
        <v>102</v>
      </c>
      <c r="J224" s="30">
        <v>102.3</v>
      </c>
      <c r="K224" s="30">
        <v>102.5</v>
      </c>
      <c r="L224" s="30">
        <v>102.2</v>
      </c>
      <c r="M224" s="30">
        <v>102.5</v>
      </c>
      <c r="N224" s="30">
        <v>102.8</v>
      </c>
      <c r="O224" s="30">
        <v>105.7</v>
      </c>
      <c r="P224" s="30">
        <v>106.3</v>
      </c>
      <c r="Q224" s="30">
        <v>106.7</v>
      </c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35"/>
      <c r="AE224" s="35"/>
      <c r="AF224" s="35"/>
      <c r="AG224" s="35"/>
      <c r="AH224" s="35"/>
      <c r="AI224" s="35"/>
      <c r="AJ224" s="35"/>
      <c r="AK224" s="35"/>
      <c r="AL224" s="35"/>
    </row>
    <row r="225" spans="2:38" s="3" customFormat="1" ht="18.75">
      <c r="B225" s="6" t="s">
        <v>107</v>
      </c>
      <c r="C225" s="8" t="s">
        <v>70</v>
      </c>
      <c r="D225" s="74">
        <v>2.2999999999999998</v>
      </c>
      <c r="E225" s="74">
        <v>6.2</v>
      </c>
      <c r="F225" s="74">
        <v>2.4</v>
      </c>
      <c r="G225" s="117">
        <v>2.4</v>
      </c>
      <c r="H225" s="74">
        <v>1.9</v>
      </c>
      <c r="I225" s="74">
        <v>2</v>
      </c>
      <c r="J225" s="74">
        <v>1.9</v>
      </c>
      <c r="K225" s="74">
        <v>1.8</v>
      </c>
      <c r="L225" s="74">
        <v>2</v>
      </c>
      <c r="M225" s="74">
        <v>1.9</v>
      </c>
      <c r="N225" s="74">
        <v>1.8</v>
      </c>
      <c r="O225" s="74">
        <v>2</v>
      </c>
      <c r="P225" s="74">
        <v>1.9</v>
      </c>
      <c r="Q225" s="74">
        <v>1.8</v>
      </c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35"/>
      <c r="AE225" s="35"/>
      <c r="AF225" s="35"/>
      <c r="AG225" s="35"/>
      <c r="AH225" s="35"/>
      <c r="AI225" s="35"/>
      <c r="AJ225" s="35"/>
      <c r="AK225" s="35"/>
      <c r="AL225" s="35"/>
    </row>
    <row r="226" spans="2:38" s="3" customFormat="1" ht="37.5">
      <c r="B226" s="6" t="s">
        <v>108</v>
      </c>
      <c r="C226" s="7" t="s">
        <v>87</v>
      </c>
      <c r="D226" s="74">
        <v>0.17299999999999999</v>
      </c>
      <c r="E226" s="74">
        <v>0.44600000000000001</v>
      </c>
      <c r="F226" s="74">
        <v>0.16900000000000001</v>
      </c>
      <c r="G226" s="117">
        <v>0.1</v>
      </c>
      <c r="H226" s="74">
        <v>0.13200000000000001</v>
      </c>
      <c r="I226" s="74">
        <v>0.18</v>
      </c>
      <c r="J226" s="74">
        <v>0.15</v>
      </c>
      <c r="K226" s="74">
        <v>0.13</v>
      </c>
      <c r="L226" s="74">
        <v>0.18</v>
      </c>
      <c r="M226" s="74">
        <v>0.15</v>
      </c>
      <c r="N226" s="74">
        <v>0.13</v>
      </c>
      <c r="O226" s="74">
        <v>0.18</v>
      </c>
      <c r="P226" s="74">
        <v>0.15</v>
      </c>
      <c r="Q226" s="74">
        <v>0.13</v>
      </c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35"/>
      <c r="AE226" s="35"/>
      <c r="AF226" s="35"/>
      <c r="AG226" s="35"/>
      <c r="AH226" s="35"/>
      <c r="AI226" s="35"/>
      <c r="AJ226" s="35"/>
      <c r="AK226" s="35"/>
      <c r="AL226" s="35"/>
    </row>
    <row r="227" spans="2:38" s="3" customFormat="1" ht="18.75">
      <c r="B227" s="6" t="s">
        <v>262</v>
      </c>
      <c r="C227" s="7" t="s">
        <v>6</v>
      </c>
      <c r="D227" s="74">
        <v>1113.29</v>
      </c>
      <c r="E227" s="74">
        <v>1145.1500000000001</v>
      </c>
      <c r="F227" s="74">
        <v>1280.96</v>
      </c>
      <c r="G227" s="117">
        <v>1452.7525000000001</v>
      </c>
      <c r="H227" s="74">
        <v>1389.81</v>
      </c>
      <c r="I227" s="74">
        <v>1401</v>
      </c>
      <c r="J227" s="74">
        <v>1405</v>
      </c>
      <c r="K227" s="74">
        <v>1413</v>
      </c>
      <c r="L227" s="74">
        <v>1414.9</v>
      </c>
      <c r="M227" s="74">
        <v>1422.5</v>
      </c>
      <c r="N227" s="74">
        <v>1433.1</v>
      </c>
      <c r="O227" s="74">
        <v>1448</v>
      </c>
      <c r="P227" s="74">
        <v>1471.3</v>
      </c>
      <c r="Q227" s="74">
        <v>1488.5</v>
      </c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35"/>
      <c r="AE227" s="35"/>
      <c r="AF227" s="35"/>
      <c r="AG227" s="35"/>
      <c r="AH227" s="35"/>
      <c r="AI227" s="35"/>
      <c r="AJ227" s="35"/>
      <c r="AK227" s="35"/>
      <c r="AL227" s="35"/>
    </row>
    <row r="228" spans="2:38" s="3" customFormat="1" ht="18.75">
      <c r="B228" s="6" t="s">
        <v>236</v>
      </c>
      <c r="C228" s="7" t="s">
        <v>235</v>
      </c>
      <c r="D228" s="55">
        <v>104.7</v>
      </c>
      <c r="E228" s="75">
        <f>E227/D227%</f>
        <v>102.861788033666</v>
      </c>
      <c r="F228" s="75">
        <f>F227/E227%</f>
        <v>111.85958171418591</v>
      </c>
      <c r="G228" s="75">
        <f>G227/F227%</f>
        <v>113.41123063952037</v>
      </c>
      <c r="H228" s="75">
        <f>H227/F227%</f>
        <v>108.49753310017486</v>
      </c>
      <c r="I228" s="75">
        <f>I227/H227%</f>
        <v>100.80514602715479</v>
      </c>
      <c r="J228" s="75">
        <f>J227/H227%</f>
        <v>101.09295515214311</v>
      </c>
      <c r="K228" s="75">
        <f t="shared" ref="K228:Q228" si="34">K227/H227%</f>
        <v>101.66857340211972</v>
      </c>
      <c r="L228" s="75">
        <f t="shared" si="34"/>
        <v>100.99214846538187</v>
      </c>
      <c r="M228" s="75">
        <f t="shared" si="34"/>
        <v>101.24555160142349</v>
      </c>
      <c r="N228" s="75">
        <f t="shared" si="34"/>
        <v>101.42250530785562</v>
      </c>
      <c r="O228" s="75">
        <f t="shared" si="34"/>
        <v>102.33938794261078</v>
      </c>
      <c r="P228" s="75">
        <f t="shared" si="34"/>
        <v>103.43057996485061</v>
      </c>
      <c r="Q228" s="75">
        <f t="shared" si="34"/>
        <v>103.86574558649083</v>
      </c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35"/>
      <c r="AE228" s="35"/>
      <c r="AF228" s="35"/>
      <c r="AG228" s="35"/>
      <c r="AH228" s="35"/>
      <c r="AI228" s="35"/>
      <c r="AJ228" s="35"/>
      <c r="AK228" s="35"/>
      <c r="AL228" s="35"/>
    </row>
    <row r="229" spans="2:38" s="3" customFormat="1" ht="18.75"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35"/>
      <c r="AE229" s="35"/>
      <c r="AF229" s="35"/>
      <c r="AG229" s="35"/>
      <c r="AH229" s="35"/>
      <c r="AI229" s="35"/>
      <c r="AJ229" s="35"/>
      <c r="AK229" s="35"/>
      <c r="AL229" s="35"/>
    </row>
    <row r="233" spans="2:38" s="32" customFormat="1"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</row>
    <row r="234" spans="2:38" s="32" customFormat="1"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</row>
    <row r="235" spans="2:38" s="32" customFormat="1"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</row>
    <row r="236" spans="2:38" s="32" customFormat="1"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</row>
    <row r="237" spans="2:38" s="32" customFormat="1"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</row>
    <row r="238" spans="2:38" s="32" customFormat="1"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</row>
    <row r="239" spans="2:38" s="32" customFormat="1"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</row>
    <row r="240" spans="2:38" s="32" customFormat="1"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</row>
    <row r="241" spans="4:29" s="32" customFormat="1"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</row>
    <row r="242" spans="4:29" s="32" customFormat="1"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</row>
    <row r="243" spans="4:29" s="32" customFormat="1"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</row>
    <row r="244" spans="4:29" s="32" customFormat="1"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</row>
    <row r="245" spans="4:29" s="32" customFormat="1"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</row>
    <row r="246" spans="4:29" s="32" customFormat="1"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</row>
    <row r="247" spans="4:29" s="32" customFormat="1"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</row>
    <row r="248" spans="4:29" s="32" customFormat="1"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</row>
    <row r="249" spans="4:29" s="32" customFormat="1"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</row>
    <row r="250" spans="4:29" s="32" customFormat="1"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</row>
    <row r="251" spans="4:29" s="32" customFormat="1"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</row>
    <row r="252" spans="4:29" s="32" customFormat="1"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</row>
    <row r="253" spans="4:29" s="32" customFormat="1"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</row>
    <row r="254" spans="4:29" s="32" customFormat="1"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</row>
    <row r="255" spans="4:29" s="32" customFormat="1"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</row>
    <row r="256" spans="4:29" s="32" customFormat="1"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</row>
    <row r="257" spans="4:29" s="32" customFormat="1"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</row>
    <row r="258" spans="4:29" s="32" customFormat="1"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</row>
    <row r="259" spans="4:29" s="32" customFormat="1"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</row>
  </sheetData>
  <sheetProtection formatCells="0" formatColumns="0" formatRows="0"/>
  <mergeCells count="14">
    <mergeCell ref="B8:Q8"/>
    <mergeCell ref="E12:E14"/>
    <mergeCell ref="O12:Q12"/>
    <mergeCell ref="C11:C14"/>
    <mergeCell ref="H12:H14"/>
    <mergeCell ref="D12:D14"/>
    <mergeCell ref="I11:Q11"/>
    <mergeCell ref="L12:N12"/>
    <mergeCell ref="I12:K12"/>
    <mergeCell ref="B11:B14"/>
    <mergeCell ref="B9:Q9"/>
    <mergeCell ref="F12:F14"/>
    <mergeCell ref="G12:G14"/>
    <mergeCell ref="F11:G11"/>
  </mergeCells>
  <phoneticPr fontId="5" type="noConversion"/>
  <printOptions horizontalCentered="1"/>
  <pageMargins left="0.39370078740157483" right="0.39370078740157483" top="0.78740157480314965" bottom="0.39370078740157483" header="0.39370078740157483" footer="0.39370078740157483"/>
  <pageSetup paperSize="9" scale="52" fitToWidth="0" fitToHeight="0" orientation="landscape" r:id="rId1"/>
  <headerFooter differentFirst="1" alignWithMargins="0">
    <oddHeader>&amp;C&amp;"Times New Roman,обычный"&amp;12&amp;P</oddHeader>
  </headerFooter>
  <rowBreaks count="4" manualBreakCount="4">
    <brk id="103" min="1" max="14" man="1"/>
    <brk id="122" min="1" max="14" man="1"/>
    <brk id="173" min="1" max="14" man="1"/>
    <brk id="200" min="1" max="14" man="1"/>
  </rowBreaks>
  <ignoredErrors>
    <ignoredError sqref="I223:Q223 E183 E166:F166 I166:Q166 H124:Q124 H172 J185:K185 I171:Q172 F37 H194 E224 H208 H212:K213 M212:Q213 E194 E172:F172 F125 E124 J126:Q126" unlockedFormula="1"/>
    <ignoredError sqref="F218" formula="1"/>
    <ignoredError sqref="F126 L212:L213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N25"/>
  <sheetViews>
    <sheetView workbookViewId="0">
      <selection activeCell="C23" sqref="C23"/>
    </sheetView>
  </sheetViews>
  <sheetFormatPr defaultRowHeight="15.75"/>
  <cols>
    <col min="1" max="1" width="35.85546875" style="10" bestFit="1" customWidth="1"/>
    <col min="2" max="5" width="10.7109375" style="10" customWidth="1"/>
    <col min="6" max="6" width="10.7109375" style="26" customWidth="1"/>
    <col min="7" max="9" width="10.7109375" style="27" customWidth="1"/>
    <col min="10" max="14" width="10.7109375" style="10" customWidth="1"/>
    <col min="15" max="16384" width="9.140625" style="10"/>
  </cols>
  <sheetData>
    <row r="3" spans="1:14">
      <c r="A3" s="158" t="s">
        <v>271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4">
      <c r="A4" s="11"/>
      <c r="B4" s="11"/>
      <c r="C4" s="11"/>
      <c r="D4" s="11"/>
      <c r="E4" s="11"/>
      <c r="F4" s="12"/>
      <c r="G4" s="13"/>
      <c r="H4" s="13"/>
      <c r="I4" s="13"/>
      <c r="N4" s="10" t="s">
        <v>251</v>
      </c>
    </row>
    <row r="5" spans="1:14">
      <c r="A5" s="14" t="s">
        <v>252</v>
      </c>
      <c r="B5" s="14">
        <v>2013</v>
      </c>
      <c r="C5" s="14">
        <v>2014</v>
      </c>
      <c r="D5" s="14">
        <v>2015</v>
      </c>
      <c r="E5" s="14">
        <v>2016</v>
      </c>
      <c r="F5" s="15">
        <v>2017</v>
      </c>
      <c r="G5" s="16">
        <v>2018</v>
      </c>
      <c r="H5" s="16">
        <v>2019</v>
      </c>
      <c r="I5" s="16">
        <v>2020</v>
      </c>
      <c r="J5" s="16">
        <v>2021</v>
      </c>
      <c r="K5" s="86">
        <v>2022</v>
      </c>
      <c r="L5" s="86">
        <v>2023</v>
      </c>
      <c r="M5" s="86">
        <v>2024</v>
      </c>
      <c r="N5" s="86">
        <v>2025</v>
      </c>
    </row>
    <row r="6" spans="1:14" ht="31.5">
      <c r="A6" s="14" t="s">
        <v>253</v>
      </c>
      <c r="B6" s="28">
        <v>29913</v>
      </c>
      <c r="C6" s="28">
        <v>26485</v>
      </c>
      <c r="D6" s="28">
        <v>28143</v>
      </c>
      <c r="E6" s="28">
        <v>28328</v>
      </c>
      <c r="F6" s="29">
        <v>31301</v>
      </c>
      <c r="G6" s="28">
        <f>83237*25/60.23</f>
        <v>34549.643035032379</v>
      </c>
      <c r="H6" s="29">
        <f>86562*25/59.81</f>
        <v>36182.076575823441</v>
      </c>
      <c r="I6" s="28">
        <f>93148*25/62.57</f>
        <v>37217.516381652546</v>
      </c>
      <c r="J6" s="28">
        <f>108025*25/64.87</f>
        <v>41631.339602281485</v>
      </c>
      <c r="K6" s="87">
        <f>97300*25/57.16</f>
        <v>42555.983205038494</v>
      </c>
      <c r="L6" s="87">
        <f>93308*25/55.5</f>
        <v>42030.630630630629</v>
      </c>
      <c r="M6" s="87">
        <f>95900*25/56.63</f>
        <v>42336.217552533992</v>
      </c>
      <c r="N6" s="87">
        <f>96900*25/56.63</f>
        <v>42777.679675083877</v>
      </c>
    </row>
    <row r="7" spans="1:14" s="20" customFormat="1">
      <c r="A7" s="18"/>
      <c r="B7" s="18"/>
      <c r="C7" s="18">
        <f>C6/B6*100</f>
        <v>88.540099622237818</v>
      </c>
      <c r="D7" s="18">
        <f>D6/C6*100</f>
        <v>106.26014725316217</v>
      </c>
      <c r="E7" s="18">
        <f>E6/D6*100</f>
        <v>100.65735706925345</v>
      </c>
      <c r="F7" s="19">
        <f>F6/E6*100</f>
        <v>110.49491669020051</v>
      </c>
      <c r="G7" s="19">
        <f t="shared" ref="G7:N7" si="0">G6/F6*100</f>
        <v>110.37871964164844</v>
      </c>
      <c r="H7" s="19">
        <f t="shared" si="0"/>
        <v>104.72489263966003</v>
      </c>
      <c r="I7" s="19">
        <f t="shared" si="0"/>
        <v>102.86174787027281</v>
      </c>
      <c r="J7" s="19">
        <f t="shared" si="0"/>
        <v>111.85953188108184</v>
      </c>
      <c r="K7" s="88">
        <f t="shared" si="0"/>
        <v>102.22102774397952</v>
      </c>
      <c r="L7" s="88">
        <f t="shared" si="0"/>
        <v>98.765502439747024</v>
      </c>
      <c r="M7" s="88">
        <f t="shared" si="0"/>
        <v>100.72705766560794</v>
      </c>
      <c r="N7" s="88">
        <f t="shared" si="0"/>
        <v>101.04275286757039</v>
      </c>
    </row>
    <row r="8" spans="1:14">
      <c r="A8" s="14" t="s">
        <v>254</v>
      </c>
      <c r="B8" s="28">
        <f t="shared" ref="B8:I8" si="1">(B6*100)/25</f>
        <v>119652</v>
      </c>
      <c r="C8" s="28">
        <f t="shared" si="1"/>
        <v>105940</v>
      </c>
      <c r="D8" s="28">
        <f t="shared" si="1"/>
        <v>112572</v>
      </c>
      <c r="E8" s="28">
        <f t="shared" si="1"/>
        <v>113312</v>
      </c>
      <c r="F8" s="29">
        <f>(F6*100)/25</f>
        <v>125204</v>
      </c>
      <c r="G8" s="28">
        <f>(G6*100)/25</f>
        <v>138198.57214012952</v>
      </c>
      <c r="H8" s="29">
        <f>(H6*100)/25</f>
        <v>144728.30630329376</v>
      </c>
      <c r="I8" s="28">
        <f t="shared" si="1"/>
        <v>148870.06552661018</v>
      </c>
      <c r="J8" s="28">
        <f>(J6*100)/25</f>
        <v>166525.35840912594</v>
      </c>
      <c r="K8" s="87">
        <f>(K6*100)/25</f>
        <v>170223.93282015398</v>
      </c>
      <c r="L8" s="87">
        <f>(L6*100)/25</f>
        <v>168122.52252252251</v>
      </c>
      <c r="M8" s="87">
        <f>(M6*100)/25</f>
        <v>169344.87021013594</v>
      </c>
      <c r="N8" s="87">
        <f>(N6*100)/25</f>
        <v>171110.71870033551</v>
      </c>
    </row>
    <row r="9" spans="1:14" ht="31.5">
      <c r="A9" s="21" t="s">
        <v>255</v>
      </c>
      <c r="B9" s="23">
        <f t="shared" ref="B9:J9" si="2">(B8*100)/13</f>
        <v>920400</v>
      </c>
      <c r="C9" s="23">
        <f t="shared" si="2"/>
        <v>814923.07692307688</v>
      </c>
      <c r="D9" s="23">
        <f t="shared" si="2"/>
        <v>865938.4615384615</v>
      </c>
      <c r="E9" s="23">
        <f t="shared" si="2"/>
        <v>871630.76923076925</v>
      </c>
      <c r="F9" s="23">
        <f t="shared" si="2"/>
        <v>963107.69230769225</v>
      </c>
      <c r="G9" s="23">
        <f t="shared" si="2"/>
        <v>1063065.9395394577</v>
      </c>
      <c r="H9" s="23">
        <f t="shared" si="2"/>
        <v>1113294.6638714904</v>
      </c>
      <c r="I9" s="23">
        <f t="shared" si="2"/>
        <v>1145154.3502046936</v>
      </c>
      <c r="J9" s="24">
        <f t="shared" si="2"/>
        <v>1280964.2954548148</v>
      </c>
      <c r="K9" s="23">
        <f>(K8*100)/13</f>
        <v>1309414.8678473383</v>
      </c>
      <c r="L9" s="23">
        <f>(L8*100)/13</f>
        <v>1293250.1732501732</v>
      </c>
      <c r="M9" s="23">
        <f>(M8*100)/13</f>
        <v>1302652.8477702765</v>
      </c>
      <c r="N9" s="23">
        <f>(N8*100)/13</f>
        <v>1316236.2976948884</v>
      </c>
    </row>
    <row r="10" spans="1:14">
      <c r="A10" s="15" t="s">
        <v>256</v>
      </c>
      <c r="B10" s="22">
        <v>112.5</v>
      </c>
      <c r="C10" s="22">
        <f>(C9/B9)*100</f>
        <v>88.540099622237818</v>
      </c>
      <c r="D10" s="22">
        <v>106.3</v>
      </c>
      <c r="E10" s="22">
        <f t="shared" ref="E10:J10" si="3">(E9/D9)*100</f>
        <v>100.65735706925348</v>
      </c>
      <c r="F10" s="22">
        <f t="shared" si="3"/>
        <v>110.49491669020051</v>
      </c>
      <c r="G10" s="19">
        <f t="shared" si="3"/>
        <v>110.37871964164843</v>
      </c>
      <c r="H10" s="19">
        <f t="shared" si="3"/>
        <v>104.72489263966006</v>
      </c>
      <c r="I10" s="19">
        <f t="shared" si="3"/>
        <v>102.86174787027281</v>
      </c>
      <c r="J10" s="19">
        <f t="shared" si="3"/>
        <v>111.85953188108184</v>
      </c>
      <c r="K10" s="88">
        <f>(K9/J9)*100</f>
        <v>102.22102774397955</v>
      </c>
      <c r="L10" s="88">
        <f>(L9/K9)*100</f>
        <v>98.765502439747024</v>
      </c>
      <c r="M10" s="88">
        <f>(M9/L9)*100</f>
        <v>100.72705766560794</v>
      </c>
      <c r="N10" s="88">
        <v>101</v>
      </c>
    </row>
    <row r="11" spans="1:14">
      <c r="A11" s="15"/>
      <c r="B11" s="15"/>
      <c r="C11" s="15"/>
      <c r="D11" s="15"/>
      <c r="E11" s="15"/>
      <c r="F11" s="15"/>
      <c r="G11" s="17"/>
      <c r="H11" s="17"/>
      <c r="I11" s="17"/>
      <c r="J11" s="17"/>
      <c r="K11" s="89"/>
      <c r="L11" s="89"/>
      <c r="M11" s="86"/>
      <c r="N11" s="86"/>
    </row>
    <row r="12" spans="1:14">
      <c r="A12" s="15"/>
      <c r="B12" s="15"/>
      <c r="C12" s="15"/>
      <c r="D12" s="15"/>
      <c r="E12" s="15"/>
      <c r="F12" s="15"/>
      <c r="G12" s="17"/>
      <c r="H12" s="17"/>
      <c r="I12" s="17"/>
      <c r="J12" s="17"/>
      <c r="K12" s="89"/>
      <c r="L12" s="89"/>
      <c r="M12" s="86"/>
      <c r="N12" s="86"/>
    </row>
    <row r="13" spans="1:14">
      <c r="A13" s="21" t="s">
        <v>257</v>
      </c>
      <c r="B13" s="23">
        <v>611318.80000000005</v>
      </c>
      <c r="C13" s="23">
        <v>691509.6</v>
      </c>
      <c r="D13" s="23">
        <v>716701.1</v>
      </c>
      <c r="E13" s="23">
        <v>745597.5</v>
      </c>
      <c r="F13" s="23">
        <f>E13*104%</f>
        <v>775421.4</v>
      </c>
      <c r="G13" s="23">
        <v>854168</v>
      </c>
      <c r="H13" s="23">
        <v>945208.1</v>
      </c>
      <c r="I13" s="23">
        <v>985365.2</v>
      </c>
      <c r="J13" s="24">
        <v>1020666.8</v>
      </c>
      <c r="K13" s="23">
        <f>J13*103%</f>
        <v>1051286.804</v>
      </c>
      <c r="L13" s="23">
        <f>K13*103%</f>
        <v>1082825.40812</v>
      </c>
      <c r="M13" s="23">
        <f>L13*103%</f>
        <v>1115310.1703636001</v>
      </c>
      <c r="N13" s="23">
        <f>M13*103%</f>
        <v>1148769.4754745082</v>
      </c>
    </row>
    <row r="14" spans="1:14">
      <c r="A14" s="15" t="s">
        <v>256</v>
      </c>
      <c r="B14" s="22">
        <f>(B13/529338)*100</f>
        <v>115.48742013609453</v>
      </c>
      <c r="C14" s="22">
        <f>(C13/611318.8)*100</f>
        <v>113.11767280836118</v>
      </c>
      <c r="D14" s="22">
        <f>(D13/657307.6)*100</f>
        <v>109.03587604950864</v>
      </c>
      <c r="E14" s="22">
        <f>(E13/D13)*100</f>
        <v>104.03186209704435</v>
      </c>
      <c r="F14" s="22">
        <f t="shared" ref="F14:N14" si="4">(F13/E13)*100</f>
        <v>104</v>
      </c>
      <c r="G14" s="22">
        <f t="shared" si="4"/>
        <v>110.15532973425803</v>
      </c>
      <c r="H14" s="22">
        <f t="shared" si="4"/>
        <v>110.65833653332832</v>
      </c>
      <c r="I14" s="22">
        <f>(I13/H13)*100</f>
        <v>104.24849300381578</v>
      </c>
      <c r="J14" s="22">
        <f>(J13/I13)*100</f>
        <v>103.58259049538184</v>
      </c>
      <c r="K14" s="90">
        <f t="shared" si="4"/>
        <v>103</v>
      </c>
      <c r="L14" s="90">
        <f t="shared" si="4"/>
        <v>103</v>
      </c>
      <c r="M14" s="90">
        <f t="shared" si="4"/>
        <v>103</v>
      </c>
      <c r="N14" s="90">
        <f t="shared" si="4"/>
        <v>103</v>
      </c>
    </row>
    <row r="15" spans="1:14">
      <c r="A15" s="15"/>
      <c r="B15" s="15"/>
      <c r="C15" s="15"/>
      <c r="D15" s="15"/>
      <c r="E15" s="15"/>
      <c r="F15" s="15"/>
      <c r="G15" s="17"/>
      <c r="H15" s="17"/>
      <c r="I15" s="17"/>
      <c r="J15" s="17"/>
      <c r="K15" s="89"/>
      <c r="L15" s="89"/>
      <c r="M15" s="86"/>
      <c r="N15" s="86"/>
    </row>
    <row r="16" spans="1:14">
      <c r="A16" s="21" t="s">
        <v>258</v>
      </c>
      <c r="B16" s="23"/>
      <c r="C16" s="23"/>
      <c r="D16" s="23">
        <v>162091.1</v>
      </c>
      <c r="E16" s="23">
        <v>163129.9</v>
      </c>
      <c r="F16" s="23">
        <v>174823</v>
      </c>
      <c r="G16" s="23">
        <v>204611</v>
      </c>
      <c r="H16" s="23">
        <v>215786.1</v>
      </c>
      <c r="I16" s="23">
        <v>232813</v>
      </c>
      <c r="J16" s="24">
        <v>243684</v>
      </c>
      <c r="K16" s="23">
        <v>253644</v>
      </c>
      <c r="L16" s="23">
        <v>253750</v>
      </c>
      <c r="M16" s="91">
        <v>254200</v>
      </c>
      <c r="N16" s="91">
        <v>254120</v>
      </c>
    </row>
    <row r="17" spans="1:14">
      <c r="A17" s="14" t="str">
        <f>A14</f>
        <v>Троста, %</v>
      </c>
      <c r="B17" s="14"/>
      <c r="C17" s="14"/>
      <c r="D17" s="25">
        <f>(D16/152654.7)*100</f>
        <v>106.18153256991106</v>
      </c>
      <c r="E17" s="25">
        <f t="shared" ref="E17:K17" si="5">E16/D16%</f>
        <v>100.64087417507808</v>
      </c>
      <c r="F17" s="22">
        <f t="shared" si="5"/>
        <v>107.16796859435334</v>
      </c>
      <c r="G17" s="25">
        <f t="shared" si="5"/>
        <v>117.03894796451267</v>
      </c>
      <c r="H17" s="22">
        <f t="shared" si="5"/>
        <v>105.46163207256697</v>
      </c>
      <c r="I17" s="25">
        <f t="shared" si="5"/>
        <v>107.89063799753553</v>
      </c>
      <c r="J17" s="25">
        <f t="shared" si="5"/>
        <v>104.66941279052286</v>
      </c>
      <c r="K17" s="90">
        <f t="shared" si="5"/>
        <v>104.08726055054906</v>
      </c>
      <c r="L17" s="90">
        <f t="shared" ref="L17" si="6">L16/K16%</f>
        <v>100.041790856476</v>
      </c>
      <c r="M17" s="90">
        <f t="shared" ref="M17" si="7">M16/L16%</f>
        <v>100.17733990147784</v>
      </c>
      <c r="N17" s="90">
        <f t="shared" ref="N17" si="8">N16/M16%</f>
        <v>99.96852871754524</v>
      </c>
    </row>
    <row r="18" spans="1:14">
      <c r="A18" s="11"/>
      <c r="B18" s="11"/>
      <c r="C18" s="11"/>
      <c r="D18" s="11"/>
      <c r="E18" s="11"/>
      <c r="F18" s="12"/>
      <c r="G18" s="13"/>
      <c r="H18" s="92"/>
      <c r="I18" s="13"/>
      <c r="J18" s="11"/>
      <c r="K18" s="93"/>
      <c r="L18" s="93"/>
    </row>
    <row r="19" spans="1:14">
      <c r="A19" s="11"/>
      <c r="B19" s="11"/>
      <c r="C19" s="11"/>
      <c r="D19" s="11"/>
      <c r="E19" s="11"/>
      <c r="F19" s="12"/>
      <c r="G19" s="13"/>
      <c r="H19" s="92"/>
      <c r="I19" s="13"/>
      <c r="J19" s="11"/>
      <c r="K19" s="93"/>
      <c r="L19" s="93"/>
    </row>
    <row r="20" spans="1:14">
      <c r="A20" s="11"/>
      <c r="B20" s="11"/>
      <c r="C20" s="11"/>
      <c r="D20" s="11"/>
      <c r="E20" s="11"/>
      <c r="F20" s="12"/>
      <c r="G20" s="13"/>
      <c r="H20" s="92"/>
      <c r="I20" s="13"/>
      <c r="J20" s="11"/>
      <c r="K20" s="93"/>
      <c r="L20" s="93"/>
    </row>
    <row r="21" spans="1:14">
      <c r="A21" s="11"/>
      <c r="B21" s="11"/>
      <c r="C21" s="11"/>
      <c r="D21" s="11"/>
      <c r="E21" s="11"/>
      <c r="F21" s="12"/>
      <c r="G21" s="13"/>
      <c r="H21" s="92"/>
      <c r="I21" s="13"/>
      <c r="J21" s="11"/>
      <c r="K21" s="93"/>
      <c r="L21" s="93"/>
    </row>
    <row r="22" spans="1:14">
      <c r="A22" s="11"/>
      <c r="B22" s="11"/>
      <c r="C22" s="11"/>
      <c r="D22" s="11"/>
      <c r="E22" s="11"/>
      <c r="F22" s="12"/>
      <c r="G22" s="13"/>
      <c r="H22" s="92"/>
      <c r="I22" s="13"/>
      <c r="J22" s="11"/>
      <c r="K22" s="93"/>
      <c r="L22" s="93"/>
    </row>
    <row r="23" spans="1:14">
      <c r="A23" s="11"/>
      <c r="B23" s="11"/>
      <c r="C23" s="11"/>
      <c r="D23" s="11"/>
      <c r="E23" s="11"/>
      <c r="F23" s="12"/>
      <c r="G23" s="13"/>
      <c r="H23" s="92"/>
      <c r="I23" s="13"/>
      <c r="J23" s="11"/>
      <c r="K23" s="93"/>
      <c r="L23" s="93"/>
    </row>
    <row r="24" spans="1:14">
      <c r="A24" s="11"/>
      <c r="B24" s="11"/>
      <c r="C24" s="11"/>
      <c r="D24" s="11"/>
      <c r="E24" s="11"/>
      <c r="F24" s="12"/>
      <c r="G24" s="13"/>
      <c r="H24" s="92"/>
      <c r="I24" s="13"/>
      <c r="J24" s="11"/>
      <c r="K24" s="93"/>
      <c r="L24" s="93"/>
    </row>
    <row r="25" spans="1:14">
      <c r="A25" s="11"/>
      <c r="B25" s="11"/>
      <c r="C25" s="11"/>
      <c r="D25" s="11"/>
      <c r="E25" s="11"/>
      <c r="F25" s="12"/>
      <c r="G25" s="13"/>
      <c r="H25" s="92"/>
      <c r="I25" s="13"/>
      <c r="J25" s="11"/>
      <c r="K25" s="93"/>
      <c r="L25" s="93"/>
    </row>
  </sheetData>
  <mergeCells count="1">
    <mergeCell ref="A3:J3"/>
  </mergeCells>
  <pageMargins left="0.24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2п</vt:lpstr>
      <vt:lpstr>Фонд оплаты труда</vt:lpstr>
      <vt:lpstr>'форма 2п'!Заголовки_для_печати</vt:lpstr>
      <vt:lpstr>'форма 2п'!Область_печати</vt:lpstr>
    </vt:vector>
  </TitlesOfParts>
  <Company>Администрация Кривошеинского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Индикаторы к прогнозу СЭР на 2021-2023 годы</dc:title>
  <dc:creator>Мандраков Денис Олегович</dc:creator>
  <cp:lastModifiedBy>Мандраков Денис Олегович</cp:lastModifiedBy>
  <cp:lastPrinted>2023-06-27T04:06:29Z</cp:lastPrinted>
  <dcterms:created xsi:type="dcterms:W3CDTF">2013-05-25T16:45:04Z</dcterms:created>
  <dcterms:modified xsi:type="dcterms:W3CDTF">2023-08-07T03:30:01Z</dcterms:modified>
</cp:coreProperties>
</file>